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Business Development\4. Sales Process\Estimates\2018\"/>
    </mc:Choice>
  </mc:AlternateContent>
  <bookViews>
    <workbookView xWindow="0" yWindow="0" windowWidth="28800" windowHeight="13125"/>
  </bookViews>
  <sheets>
    <sheet name="Calculations - Enter your Pay" sheetId="1" r:id="rId1"/>
    <sheet name="Detailed Calculations" sheetId="4" state="hidden" r:id="rId2"/>
    <sheet name="Tax Credit Info" sheetId="2" r:id="rId3"/>
    <sheet name="Good To Know" sheetId="3" r:id="rId4"/>
  </sheets>
  <definedNames>
    <definedName name="_xlnm.Print_Area" localSheetId="0">'Calculations - Enter your Pay'!$A$1:$H$46</definedName>
    <definedName name="_xlnm.Print_Area" localSheetId="3">'Good To Know'!$A$1:$B$34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4" l="1"/>
  <c r="P36" i="4"/>
  <c r="P25" i="4"/>
  <c r="O26" i="4"/>
  <c r="O27" i="4"/>
  <c r="K36" i="4"/>
  <c r="F36" i="4"/>
  <c r="L7" i="4" l="1"/>
  <c r="G27" i="1" l="1"/>
  <c r="D36" i="1"/>
  <c r="G7" i="4" l="1"/>
  <c r="F36" i="1"/>
  <c r="N33" i="4"/>
  <c r="P33" i="4" s="1"/>
  <c r="N32" i="4"/>
  <c r="P32" i="4" s="1"/>
  <c r="N31" i="4"/>
  <c r="P31" i="4" s="1"/>
  <c r="P29" i="4" s="1"/>
  <c r="P30" i="4"/>
  <c r="I33" i="4"/>
  <c r="K33" i="4" s="1"/>
  <c r="I32" i="4"/>
  <c r="K32" i="4" s="1"/>
  <c r="I31" i="4"/>
  <c r="K31" i="4" s="1"/>
  <c r="K30" i="4"/>
  <c r="D33" i="4"/>
  <c r="F33" i="4" s="1"/>
  <c r="D32" i="4"/>
  <c r="F32" i="4" s="1"/>
  <c r="D31" i="4"/>
  <c r="F31" i="4" s="1"/>
  <c r="F29" i="4" s="1"/>
  <c r="F30" i="4"/>
  <c r="L21" i="4"/>
  <c r="E15" i="4"/>
  <c r="G15" i="4" s="1"/>
  <c r="O15" i="4"/>
  <c r="Q15" i="4" s="1"/>
  <c r="J15" i="4"/>
  <c r="L15" i="4" s="1"/>
  <c r="F35" i="4" l="1"/>
  <c r="G29" i="4"/>
  <c r="P35" i="4"/>
  <c r="Q29" i="4"/>
  <c r="Q13" i="4"/>
  <c r="O16" i="4" l="1"/>
  <c r="Q16" i="4" s="1"/>
  <c r="Q17" i="4" s="1"/>
  <c r="Q25" i="4"/>
  <c r="L45" i="4"/>
  <c r="G8" i="4"/>
  <c r="G45" i="4"/>
  <c r="Q45" i="4"/>
  <c r="G21" i="4"/>
  <c r="Q21" i="4"/>
  <c r="Q19" i="4"/>
  <c r="L19" i="4"/>
  <c r="G20" i="4"/>
  <c r="Q23" i="4" l="1"/>
  <c r="Q41" i="4" s="1"/>
  <c r="Q43" i="4" s="1"/>
  <c r="Q47" i="4" s="1"/>
  <c r="Q49" i="4" s="1"/>
  <c r="Q51" i="4" s="1"/>
  <c r="F37" i="1"/>
  <c r="L6" i="4" s="1"/>
  <c r="K9" i="4" s="1"/>
  <c r="D37" i="1"/>
  <c r="G6" i="4" s="1"/>
  <c r="G13" i="4" s="1"/>
  <c r="H37" i="1"/>
  <c r="H36" i="1" s="1"/>
  <c r="H40" i="1" l="1"/>
  <c r="H39" i="1" s="1"/>
  <c r="E16" i="4"/>
  <c r="G16" i="4" s="1"/>
  <c r="G17" i="4" s="1"/>
  <c r="G23" i="4" s="1"/>
  <c r="G25" i="4"/>
  <c r="K11" i="4"/>
  <c r="K12" i="4" s="1"/>
  <c r="L9" i="4" s="1"/>
  <c r="L13" i="4" s="1"/>
  <c r="K29" i="4" l="1"/>
  <c r="L29" i="4" s="1"/>
  <c r="J26" i="4"/>
  <c r="K25" i="4" s="1"/>
  <c r="L25" i="4" s="1"/>
  <c r="J27" i="4"/>
  <c r="G41" i="4"/>
  <c r="G43" i="4" s="1"/>
  <c r="G47" i="4" s="1"/>
  <c r="G49" i="4" s="1"/>
  <c r="G51" i="4" s="1"/>
  <c r="H42" i="1"/>
  <c r="J16" i="4"/>
  <c r="K35" i="4" l="1"/>
  <c r="L16" i="4"/>
  <c r="L17" i="4" s="1"/>
  <c r="L23" i="4" s="1"/>
  <c r="L41" i="4" s="1"/>
  <c r="L43" i="4" s="1"/>
  <c r="L47" i="4" s="1"/>
  <c r="L49" i="4" s="1"/>
  <c r="L51" i="4" s="1"/>
  <c r="D40" i="1"/>
  <c r="D39" i="1" s="1"/>
  <c r="F40" i="1" l="1"/>
  <c r="F39" i="1" s="1"/>
  <c r="D42" i="1"/>
  <c r="F42" i="1" l="1"/>
</calcChain>
</file>

<file path=xl/sharedStrings.xml><?xml version="1.0" encoding="utf-8"?>
<sst xmlns="http://schemas.openxmlformats.org/spreadsheetml/2006/main" count="118" uniqueCount="104">
  <si>
    <t>Your Standard Rate Cut Off</t>
  </si>
  <si>
    <t>Your PAYE Tax Credit</t>
  </si>
  <si>
    <t>Your Personal  Tax Credit</t>
  </si>
  <si>
    <t>Tax Rates, Tax Bands and Tax Credits for 2018</t>
  </si>
  <si>
    <t>Single. Widowed or surviving civil partner without qualifying children</t>
  </si>
  <si>
    <t>Single. Widowed or surviving civil partner qualifying One Parent Family Tax Credit (2013), Single Person Child Carer Credit</t>
  </si>
  <si>
    <t>Married or in a civil partership (one spouse or civil partner with income)</t>
  </si>
  <si>
    <t>Married or in a civil partership (both spouses or civil partners with income)</t>
  </si>
  <si>
    <t>Personal Circumstances</t>
  </si>
  <si>
    <t>All income up to €34,550 @ 20%, balance @ 40%</t>
  </si>
  <si>
    <t>All income up to €38,550 @ 20%, balance @ 40%</t>
  </si>
  <si>
    <t>All income up to €43,550 @ 20%, balance @ 40%</t>
  </si>
  <si>
    <t>Between both individuals earnings up to €69,100 can be taxed at 20%, however there is a maximum limit of €43,550 for any one individual. Balance of all income @ 40%.</t>
  </si>
  <si>
    <t>Tax Bands &amp; Rates</t>
  </si>
  <si>
    <t>Tax Credits</t>
  </si>
  <si>
    <t>Single Person</t>
  </si>
  <si>
    <t>Married person or Civil Partner (one person earning</t>
  </si>
  <si>
    <t>Single Person Child Carer Tax Credit</t>
  </si>
  <si>
    <t>Earned Income Tax Credit (Self-Employed)</t>
  </si>
  <si>
    <t>Incapacitated Child Tax Credit</t>
  </si>
  <si>
    <t>Home Carers Tax Credit</t>
  </si>
  <si>
    <t>The above tax credits are correct for a single person with standard tax credits. If your circumstances are different you can get the tax credits which apply to you from the 'Tax Credit Info' tab.</t>
  </si>
  <si>
    <t>Enter your Current Salary</t>
  </si>
  <si>
    <t>Expected Daily Rate</t>
  </si>
  <si>
    <t>Number of days you'll work each month</t>
  </si>
  <si>
    <t>What happens if I decide to take time off during a contract?</t>
  </si>
  <si>
    <r>
      <t xml:space="preserve">Other Expenses </t>
    </r>
    <r>
      <rPr>
        <i/>
        <sz val="10"/>
        <color rgb="FF636968"/>
        <rFont val="Calibri"/>
        <family val="2"/>
        <scheme val="minor"/>
      </rPr>
      <t>(see note in 'Good to Know' tab)</t>
    </r>
  </si>
  <si>
    <r>
      <t xml:space="preserve">Travel Costs </t>
    </r>
    <r>
      <rPr>
        <i/>
        <sz val="10"/>
        <color rgb="FF636968"/>
        <rFont val="Calibri"/>
        <family val="2"/>
        <scheme val="minor"/>
      </rPr>
      <t>(see note in 'Good to Know' tab)</t>
    </r>
  </si>
  <si>
    <t>What Travel Costs can I claim?</t>
  </si>
  <si>
    <t>What other expenses can I claim</t>
  </si>
  <si>
    <t>What happens  if I decide Contracting is not for me?</t>
  </si>
  <si>
    <t>What's an Umbrella Company?</t>
  </si>
  <si>
    <t>If I take a Contracting role, what company and tax registrations do I need to look after?</t>
  </si>
  <si>
    <t>Gross Annual Income</t>
  </si>
  <si>
    <t>Umbrella</t>
  </si>
  <si>
    <t>(Director)</t>
  </si>
  <si>
    <t>(PAYE)</t>
  </si>
  <si>
    <t>Monthly Income</t>
  </si>
  <si>
    <t xml:space="preserve">As a Self Employed Contractor you can increase your take-home pay by claiming business expenses through your business. We've added some of the more popular ones for you, but there's space for you to add more. Feel free to change the amounts to reflect your current spending. Also include your monthly pension contributions. </t>
  </si>
  <si>
    <t>Here's a detailed breakdown of your Income Calculations</t>
  </si>
  <si>
    <t>Amount Taxable @ 20%</t>
  </si>
  <si>
    <t>Amount Taxable @ 40%</t>
  </si>
  <si>
    <t>PAYE Tax Credit</t>
  </si>
  <si>
    <t>Earned Income Tax Credit</t>
  </si>
  <si>
    <t>Your Other Tax Credis</t>
  </si>
  <si>
    <t>USC Payable</t>
  </si>
  <si>
    <t>Net Pay after Tax Deductions</t>
  </si>
  <si>
    <t>Net Payment to you</t>
  </si>
  <si>
    <t>Retention Rate</t>
  </si>
  <si>
    <t>PRSI Payable (Employee)</t>
  </si>
  <si>
    <t>Income after expenses</t>
  </si>
  <si>
    <t>PRSI ER Rate</t>
  </si>
  <si>
    <t>Income after PRSI ER</t>
  </si>
  <si>
    <t>PRSI ER</t>
  </si>
  <si>
    <t>Bal</t>
  </si>
  <si>
    <t>Expenses Reimbursed</t>
  </si>
  <si>
    <t>Retention</t>
  </si>
  <si>
    <t>Monthly Take-Home Pay *</t>
  </si>
  <si>
    <t>Annual Take-Home Pay *</t>
  </si>
  <si>
    <t>* inclusive of pension contribution (payable to pension provider)</t>
  </si>
  <si>
    <t>Income Tax (PAYE)</t>
  </si>
  <si>
    <t>Income Tax (PAYE) Payable</t>
  </si>
  <si>
    <t>Net Payment (including Pension)</t>
  </si>
  <si>
    <r>
      <rPr>
        <i/>
        <sz val="11"/>
        <color rgb="FF636968"/>
        <rFont val="Calibri"/>
        <family val="2"/>
        <scheme val="minor"/>
      </rPr>
      <t>Less:</t>
    </r>
    <r>
      <rPr>
        <sz val="11"/>
        <color rgb="FF636968"/>
        <rFont val="Calibri"/>
        <family val="2"/>
        <scheme val="minor"/>
      </rPr>
      <t xml:space="preserve"> Allowable Expenses</t>
    </r>
  </si>
  <si>
    <r>
      <rPr>
        <i/>
        <sz val="11"/>
        <color rgb="FF636968"/>
        <rFont val="Calibri"/>
        <family val="2"/>
        <scheme val="minor"/>
      </rPr>
      <t>Less:</t>
    </r>
    <r>
      <rPr>
        <sz val="11"/>
        <color rgb="FF636968"/>
        <rFont val="Calibri"/>
        <family val="2"/>
        <scheme val="minor"/>
      </rPr>
      <t xml:space="preserve"> Company Pension Contributions</t>
    </r>
  </si>
  <si>
    <r>
      <rPr>
        <i/>
        <sz val="11"/>
        <color rgb="FF636968"/>
        <rFont val="Calibri"/>
        <family val="2"/>
        <scheme val="minor"/>
      </rPr>
      <t>Less:</t>
    </r>
    <r>
      <rPr>
        <sz val="11"/>
        <color rgb="FF636968"/>
        <rFont val="Calibri"/>
        <family val="2"/>
        <scheme val="minor"/>
      </rPr>
      <t xml:space="preserve"> PRSI Payable (Employer)</t>
    </r>
  </si>
  <si>
    <t xml:space="preserve">Please note the tax credits outlined above are the more popular ones. Other Tax Credits are available for varying circumstances. </t>
  </si>
  <si>
    <t>Total Tax, PRSI &amp; USC</t>
  </si>
  <si>
    <t>Annual Income As a Contractor</t>
  </si>
  <si>
    <t>Less Tax Credits:</t>
  </si>
  <si>
    <t>Notes To Calculations</t>
  </si>
  <si>
    <t>Tax Saver Transport Ticket</t>
  </si>
  <si>
    <t xml:space="preserve">Taxable Pay </t>
  </si>
  <si>
    <t>1. The the Umbrella (PAYE) solution, the only expenses which can be offset against income are  phone, broadband and tax-saver transport ticket.</t>
  </si>
  <si>
    <t xml:space="preserve">2. The Company cannot make pension contributions in the Umbrella (PAYE) solution. </t>
  </si>
  <si>
    <t>3. The 'Employers PRSI', which is 10.85% of your earnings is paid by you, not by the company. This is because as a Contractor you are deemed to be self-employed and in essence are paying yourself. This is standard across the industry. It is one of the reasons we don't always recommend using the Umbrella (PAYE) solution if your contract will be 3 months or longer.</t>
  </si>
  <si>
    <t>4. These calculations do not take account of relief available to medical card holders and/or those entitled to the Age Tax Credit.</t>
  </si>
  <si>
    <t>Taken from the Revenue Commissioners website and correct as of 1 October 2018.</t>
  </si>
  <si>
    <t>5 Reasons To Take a Contract Role</t>
  </si>
  <si>
    <t>1. You'll earn more money. Contractors typically get paid more than their peers in a PAYE role.</t>
  </si>
  <si>
    <t>2. You'll get exposure to different companies and different ways of working which will make you more employable in the long-run.</t>
  </si>
  <si>
    <t>3. Contracting gives you great flexibility in your work-life balance.</t>
  </si>
  <si>
    <t>4. You'll probably pay less tax as unlike employees, contractors can claim business expenses against their earnings.</t>
  </si>
  <si>
    <t>5. It's a great way to bolster your C.V. Individuals with a Contracting background are highly sought after as they tend to have the most up to date knowledge.</t>
  </si>
  <si>
    <t>While every effort has been made to ensure all information and calculations are based on up to date Irish tax rules for 2018, please note that this is just a guide and no responsibility can be taken for any decisions made based on the information provided. Contracting PLUS will advise all contractors in relation to what expenses can be included as a business expense with the ultimate goal being to maximise your take-home pay while ensuring you stay on the right side of the Revenue Commissioners.</t>
  </si>
  <si>
    <t>Compare your PAYE salary to Contracting Income</t>
  </si>
  <si>
    <t>You can change the figures in the pink cells to work out your estimated take-home pay after tax</t>
  </si>
  <si>
    <t>The standard number of working days each month is normally 20. This takes into account bank holidays and 22 days vacation time and will give you the fairest comparison to your current PAYE situation.</t>
  </si>
  <si>
    <t>Training / Subscriptions / Events relevant to your profession</t>
  </si>
  <si>
    <t>Current</t>
  </si>
  <si>
    <t>Salary</t>
  </si>
  <si>
    <t>Very simply it is a Limited Company which is already set up, is registered for all the right taxes and has a bank account open . Contracting PLUS are expert accountants for independent contractors and we have a number of Umbrella companies you can use. You become a director of the company and Contracting PLUS look after all the payroll, the admin, the taxes. We make it hassle free for you.</t>
  </si>
  <si>
    <t>We always recommend using a specialist company like Contracting PLUS for all your payroll, tax and company registrations. This means you only need to turn up to do your Job. We understand the Contracting sector and look after all the admin and tax and assist you with claiming your business expenses. As a contractor it's important you stay compliant with your tax affairs.</t>
  </si>
  <si>
    <t>Every contract varies. Ideally, if you have time off planned then it is better to let your client know this before the contract begins. For longer contracts the time you need off can be agreed directly with the client you are working with. It's very normal for Contractors to agree time off and its rarely an issue.</t>
  </si>
  <si>
    <t>Typically a contractor can claim tax relief on their monthly public transport ticket. Travel from home to work and back again is not deemed to be business travel. However, if you needed to travel between client sites, or travel to a location on an ad-hoc basis, this woul normally be an allowable expense. It's better to get the right advice based on your specific situation. Call one of our experts on 1800 54 54 22 to discuss this in more detail.</t>
  </si>
  <si>
    <t xml:space="preserve">Any expense wihich you incur which enables you to carry on your work as a contractor can be claimed as a business expense. The more popular ones would be mobile phone, broadband, travel, training and subscriptions to industry magazines. There are however lots more expenses that might be unique to you. When you're a Contracting PLUS client we work with you over a period of time to understand your expenses and make sure you're maximising your income while remaining fully tax compliant. </t>
  </si>
  <si>
    <t>That's not a problem. People new to contracting always ask this question. Taking a contract role now is going to be a positive addition to your C.V. It's a new experience and an opportunity to develop your skills. If the time comes whereby you feel you'd rather be back in a PAYE role then there are no leaving costs when you use a Contracting PLUS umbrella company. Its simple and free to join, and simple and free to leave.</t>
  </si>
  <si>
    <t>Monthly Pension Contribution (we recommend 8% of earnings)</t>
  </si>
  <si>
    <t>Mobile Phone, Internet &amp; Landline</t>
  </si>
  <si>
    <t>Contract Related Equipment (Phones, Laptops, safety, etc)</t>
  </si>
  <si>
    <t>Medical Card Holder or Aged over 70</t>
  </si>
  <si>
    <t>No</t>
  </si>
  <si>
    <t>Aged 66 or over</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</si>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</sst>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
    <numFmt numFmtId="165" formatCode="&quot;€&quot;#,##0.00"/>
  </numFmts>
  <fonts count="29" x14ac:knownFonts="1">
    <font>
      <sz val="11"/>
      <color theme="1"/>
      <name val="Calibri"/>
      <family val="2"/>
      <scheme val="minor"/>
    </font>
    <font>
      <b/>
      <sz val="11"/>
      <color rgb="FF636968"/>
      <name val="Calibri"/>
      <family val="2"/>
      <scheme val="minor"/>
    </font>
    <font>
      <b/>
      <sz val="16"/>
      <color rgb="FF636968"/>
      <name val="Calibri"/>
      <family val="2"/>
      <scheme val="minor"/>
    </font>
    <font>
      <sz val="11"/>
      <color theme="1"/>
      <name val="Calibri"/>
      <family val="2"/>
      <scheme val="minor"/>
    </font>
    <font>
      <sz val="11"/>
      <color rgb="FF636968"/>
      <name val="Calibri"/>
      <family val="2"/>
      <scheme val="minor"/>
    </font>
    <font>
      <i/>
      <sz val="10"/>
      <color rgb="FF636968"/>
      <name val="Calibri"/>
      <family val="2"/>
      <scheme val="minor"/>
    </font>
    <font>
      <i/>
      <sz val="9"/>
      <color rgb="FF636968"/>
      <name val="Calibri"/>
      <family val="2"/>
      <scheme val="minor"/>
    </font>
    <font>
      <b/>
      <i/>
      <sz val="11"/>
      <color rgb="FF636968"/>
      <name val="Calibri"/>
      <family val="2"/>
      <scheme val="minor"/>
    </font>
    <font>
      <u/>
      <sz val="11"/>
      <color rgb="FF636968"/>
      <name val="Calibri"/>
      <family val="2"/>
      <scheme val="minor"/>
    </font>
    <font>
      <b/>
      <sz val="14"/>
      <color rgb="FF636968"/>
      <name val="Calibri"/>
      <family val="2"/>
      <scheme val="minor"/>
    </font>
    <font>
      <sz val="10"/>
      <name val="Calibri"/>
      <family val="2"/>
      <scheme val="minor"/>
    </font>
    <font>
      <i/>
      <sz val="11"/>
      <color rgb="FF636968"/>
      <name val="Calibri"/>
      <family val="2"/>
      <scheme val="minor"/>
    </font>
    <font>
      <sz val="11"/>
      <name val="Calibri"/>
      <family val="2"/>
      <scheme val="minor"/>
    </font>
    <font>
      <b/>
      <sz val="11"/>
      <name val="Calibri"/>
      <family val="2"/>
      <scheme val="minor"/>
    </font>
    <font>
      <u/>
      <sz val="11"/>
      <name val="Calibri"/>
      <family val="2"/>
      <scheme val="minor"/>
    </font>
    <font>
      <b/>
      <sz val="14"/>
      <name val="Calibri"/>
      <family val="2"/>
      <scheme val="minor"/>
    </font>
    <font>
      <sz val="8"/>
      <name val="Calibri"/>
      <family val="2"/>
      <scheme val="minor"/>
    </font>
    <font>
      <i/>
      <sz val="10"/>
      <name val="Calibri"/>
      <family val="2"/>
      <scheme val="minor"/>
    </font>
    <font>
      <b/>
      <sz val="14"/>
      <color theme="0"/>
      <name val="Calibri"/>
      <family val="2"/>
      <scheme val="minor"/>
    </font>
    <font>
      <b/>
      <sz val="14"/>
      <color rgb="FF00B050"/>
      <name val="Calibri"/>
      <family val="2"/>
      <scheme val="minor"/>
    </font>
    <font>
      <i/>
      <u/>
      <sz val="11"/>
      <color rgb="FF636968"/>
      <name val="Calibri"/>
      <family val="2"/>
      <scheme val="minor"/>
    </font>
    <font>
      <sz val="10"/>
      <color rgb="FF636968"/>
      <name val="Calibri"/>
      <family val="2"/>
      <scheme val="minor"/>
    </font>
    <font>
      <sz val="8"/>
      <color rgb="FF636968"/>
      <name val="Calibri"/>
      <family val="2"/>
      <scheme val="minor"/>
    </font>
    <font>
      <b/>
      <sz val="12"/>
      <color rgb="FF636968"/>
      <name val="Calibri"/>
      <family val="2"/>
      <scheme val="minor"/>
    </font>
    <font>
      <sz val="16"/>
      <color rgb="FF636968"/>
      <name val="Calibri"/>
      <family val="2"/>
      <scheme val="minor"/>
    </font>
    <font>
      <sz val="10"/>
      <color theme="1"/>
      <name val="Calibri"/>
      <family val="2"/>
      <scheme val="minor"/>
    </font>
    <font>
      <i/>
      <sz val="10"/>
      <color theme="1"/>
      <name val="Calibri"/>
      <family val="2"/>
      <scheme val="minor"/>
    </font>
    <font>
      <b/>
      <sz val="14"/>
      <color theme="1"/>
      <name val="Calibri"/>
      <family val="2"/>
      <scheme val="minor"/>
    </font>
    <font>
      <b/>
      <i/>
      <sz val="14"/>
      <color theme="0"/>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0" tint="-4.9989318521683403E-2"/>
        <bgColor indexed="64"/>
      </patternFill>
    </fill>
    <fill>
      <patternFill patternType="solid">
        <fgColor theme="0"/>
        <bgColor indexed="64"/>
      </patternFill>
    </fill>
    <fill>
      <patternFill patternType="solid">
        <fgColor rgb="FFFFB6C1"/>
        <bgColor indexed="64"/>
      </patternFill>
    </fill>
    <fill>
      <patternFill patternType="solid">
        <fgColor theme="9" tint="0.39997558519241921"/>
        <bgColor indexed="64"/>
      </patternFill>
    </fill>
  </fills>
  <borders count="18">
    <border>
      <left/>
      <right/>
      <top/>
      <bottom/>
      <diagonal/>
    </border>
    <border>
      <left style="medium">
        <color rgb="FF636968"/>
      </left>
      <right style="medium">
        <color rgb="FF636968"/>
      </right>
      <top style="medium">
        <color rgb="FF636968"/>
      </top>
      <bottom style="medium">
        <color rgb="FF636968"/>
      </bottom>
      <diagonal/>
    </border>
    <border>
      <left style="medium">
        <color rgb="FF636968"/>
      </left>
      <right/>
      <top style="medium">
        <color rgb="FF636968"/>
      </top>
      <bottom style="medium">
        <color rgb="FF636968"/>
      </bottom>
      <diagonal/>
    </border>
    <border>
      <left/>
      <right style="medium">
        <color rgb="FF636968"/>
      </right>
      <top style="medium">
        <color rgb="FF636968"/>
      </top>
      <bottom style="medium">
        <color rgb="FF636968"/>
      </bottom>
      <diagonal/>
    </border>
    <border>
      <left/>
      <right/>
      <top style="medium">
        <color rgb="FF636968"/>
      </top>
      <bottom style="medium">
        <color rgb="FF636968"/>
      </bottom>
      <diagonal/>
    </border>
    <border>
      <left style="medium">
        <color rgb="FF636968"/>
      </left>
      <right style="medium">
        <color rgb="FF636968"/>
      </right>
      <top style="medium">
        <color rgb="FF636968"/>
      </top>
      <bottom/>
      <diagonal/>
    </border>
    <border>
      <left style="medium">
        <color rgb="FF636968"/>
      </left>
      <right style="medium">
        <color rgb="FF636968"/>
      </right>
      <top/>
      <bottom/>
      <diagonal/>
    </border>
    <border>
      <left style="medium">
        <color rgb="FF636968"/>
      </left>
      <right style="medium">
        <color rgb="FF636968"/>
      </right>
      <top/>
      <bottom style="thin">
        <color indexed="64"/>
      </bottom>
      <diagonal/>
    </border>
    <border>
      <left style="medium">
        <color rgb="FF636968"/>
      </left>
      <right style="medium">
        <color rgb="FF636968"/>
      </right>
      <top/>
      <bottom style="double">
        <color indexed="64"/>
      </bottom>
      <diagonal/>
    </border>
    <border>
      <left style="medium">
        <color rgb="FF636968"/>
      </left>
      <right style="medium">
        <color rgb="FF636968"/>
      </right>
      <top/>
      <bottom style="medium">
        <color rgb="FF636968"/>
      </bottom>
      <diagonal/>
    </border>
    <border>
      <left style="medium">
        <color rgb="FF636968"/>
      </left>
      <right/>
      <top style="medium">
        <color rgb="FF636968"/>
      </top>
      <bottom/>
      <diagonal/>
    </border>
    <border>
      <left/>
      <right style="medium">
        <color rgb="FF636968"/>
      </right>
      <top style="medium">
        <color rgb="FF636968"/>
      </top>
      <bottom/>
      <diagonal/>
    </border>
    <border>
      <left style="medium">
        <color rgb="FF636968"/>
      </left>
      <right/>
      <top/>
      <bottom/>
      <diagonal/>
    </border>
    <border>
      <left/>
      <right style="medium">
        <color rgb="FF636968"/>
      </right>
      <top/>
      <bottom/>
      <diagonal/>
    </border>
    <border>
      <left style="medium">
        <color rgb="FF636968"/>
      </left>
      <right/>
      <top/>
      <bottom style="medium">
        <color rgb="FF636968"/>
      </bottom>
      <diagonal/>
    </border>
    <border>
      <left/>
      <right style="medium">
        <color rgb="FF636968"/>
      </right>
      <top/>
      <bottom style="medium">
        <color rgb="FF636968"/>
      </bottom>
      <diagonal/>
    </border>
    <border>
      <left/>
      <right/>
      <top style="medium">
        <color rgb="FF636968"/>
      </top>
      <bottom/>
      <diagonal/>
    </border>
    <border>
      <left/>
      <right/>
      <top/>
      <bottom style="medium">
        <color rgb="FF636968"/>
      </bottom>
      <diagonal/>
    </border>
  </borders>
  <cellStyleXfs count="2">
    <xf numFmtId="0" fontId="0" fillId="0" borderId="0"/>
    <xf numFmtId="9" fontId="3" fillId="0" borderId="0" applyFont="0" applyFill="0" applyBorder="0" applyAlignment="0" applyProtection="0"/>
  </cellStyleXfs>
  <cellXfs count="139">
    <xf numFmtId="0" fontId="0" fillId="0" borderId="0" xfId="0"/>
    <xf numFmtId="0" fontId="4" fillId="0" borderId="0" xfId="0" applyFont="1"/>
    <xf numFmtId="0" fontId="0" fillId="0" borderId="0" xfId="0" applyAlignment="1">
      <alignment wrapText="1"/>
    </xf>
    <xf numFmtId="0" fontId="0" fillId="0" borderId="0" xfId="0" applyProtection="1"/>
    <xf numFmtId="0" fontId="2" fillId="0" borderId="0" xfId="0" applyFont="1" applyProtection="1"/>
    <xf numFmtId="0" fontId="1" fillId="0" borderId="0" xfId="0" applyFont="1" applyAlignment="1" applyProtection="1">
      <alignment horizontal="right"/>
    </xf>
    <xf numFmtId="0" fontId="4" fillId="0" borderId="0" xfId="0" applyFont="1" applyProtection="1"/>
    <xf numFmtId="0" fontId="4" fillId="0" borderId="2" xfId="0" applyFont="1" applyBorder="1" applyProtection="1"/>
    <xf numFmtId="0" fontId="4" fillId="0" borderId="4" xfId="0" applyFont="1" applyBorder="1" applyProtection="1"/>
    <xf numFmtId="0" fontId="4" fillId="0" borderId="3" xfId="0" applyFont="1" applyBorder="1" applyProtection="1"/>
    <xf numFmtId="0" fontId="4" fillId="0" borderId="0" xfId="0" applyFont="1" applyAlignment="1" applyProtection="1"/>
    <xf numFmtId="0" fontId="1" fillId="0" borderId="0" xfId="0" applyFont="1" applyAlignment="1" applyProtection="1">
      <alignment horizontal="center"/>
    </xf>
    <xf numFmtId="0" fontId="0" fillId="0" borderId="0" xfId="0" applyAlignment="1" applyProtection="1"/>
    <xf numFmtId="0" fontId="4" fillId="0" borderId="0" xfId="0" applyFont="1" applyAlignment="1" applyProtection="1">
      <alignment horizontal="center"/>
    </xf>
    <xf numFmtId="164" fontId="4" fillId="0" borderId="0" xfId="0" applyNumberFormat="1" applyFont="1" applyAlignment="1" applyProtection="1">
      <alignment horizontal="center"/>
    </xf>
    <xf numFmtId="0" fontId="5" fillId="0" borderId="0" xfId="0" applyFont="1" applyAlignment="1" applyProtection="1"/>
    <xf numFmtId="0" fontId="12" fillId="0" borderId="0" xfId="0" applyFont="1" applyProtection="1"/>
    <xf numFmtId="164" fontId="4" fillId="0" borderId="0" xfId="0" applyNumberFormat="1" applyFont="1" applyFill="1" applyAlignment="1" applyProtection="1">
      <alignment horizontal="center"/>
    </xf>
    <xf numFmtId="164" fontId="12" fillId="0" borderId="0" xfId="0" applyNumberFormat="1" applyFont="1" applyAlignment="1" applyProtection="1">
      <alignment horizontal="center"/>
    </xf>
    <xf numFmtId="0" fontId="12" fillId="0" borderId="0" xfId="0" applyNumberFormat="1" applyFont="1" applyAlignment="1" applyProtection="1">
      <alignment horizontal="center"/>
    </xf>
    <xf numFmtId="0" fontId="12" fillId="3" borderId="0" xfId="0" applyFont="1" applyFill="1" applyProtection="1"/>
    <xf numFmtId="164" fontId="1" fillId="0" borderId="0" xfId="0" applyNumberFormat="1" applyFont="1" applyAlignment="1" applyProtection="1">
      <alignment horizontal="center"/>
    </xf>
    <xf numFmtId="164" fontId="13" fillId="3" borderId="0" xfId="0" applyNumberFormat="1" applyFont="1" applyFill="1" applyAlignment="1" applyProtection="1">
      <alignment horizontal="center"/>
    </xf>
    <xf numFmtId="0" fontId="13" fillId="3" borderId="0" xfId="0" applyNumberFormat="1" applyFont="1" applyFill="1" applyAlignment="1" applyProtection="1">
      <alignment horizontal="center"/>
    </xf>
    <xf numFmtId="164" fontId="12" fillId="3" borderId="0" xfId="0" applyNumberFormat="1" applyFont="1" applyFill="1" applyAlignment="1" applyProtection="1">
      <alignment horizontal="center"/>
    </xf>
    <xf numFmtId="0" fontId="12" fillId="3" borderId="0" xfId="0" applyNumberFormat="1" applyFont="1" applyFill="1" applyAlignment="1" applyProtection="1">
      <alignment horizontal="center"/>
    </xf>
    <xf numFmtId="0" fontId="1" fillId="0" borderId="0" xfId="0" applyFont="1" applyProtection="1"/>
    <xf numFmtId="0" fontId="13" fillId="3" borderId="0" xfId="0" applyFont="1" applyFill="1" applyProtection="1"/>
    <xf numFmtId="0" fontId="16" fillId="3" borderId="0" xfId="0" applyNumberFormat="1" applyFont="1" applyFill="1" applyAlignment="1" applyProtection="1">
      <alignment horizontal="left" vertical="top"/>
    </xf>
    <xf numFmtId="9" fontId="12" fillId="3" borderId="0" xfId="1" applyFont="1" applyFill="1" applyAlignment="1" applyProtection="1">
      <alignment horizontal="center"/>
    </xf>
    <xf numFmtId="165" fontId="4" fillId="0" borderId="0" xfId="0" applyNumberFormat="1" applyFont="1" applyFill="1" applyAlignment="1" applyProtection="1">
      <alignment horizontal="center"/>
    </xf>
    <xf numFmtId="164" fontId="8" fillId="0" borderId="0" xfId="0" applyNumberFormat="1" applyFont="1" applyAlignment="1" applyProtection="1">
      <alignment horizontal="center"/>
    </xf>
    <xf numFmtId="164" fontId="14" fillId="3" borderId="0" xfId="0" applyNumberFormat="1" applyFont="1" applyFill="1" applyAlignment="1" applyProtection="1">
      <alignment horizontal="center"/>
    </xf>
    <xf numFmtId="164" fontId="8" fillId="0" borderId="0" xfId="0" applyNumberFormat="1" applyFont="1" applyFill="1" applyAlignment="1" applyProtection="1">
      <alignment horizontal="center"/>
    </xf>
    <xf numFmtId="0" fontId="9" fillId="0" borderId="0" xfId="0" applyFont="1" applyProtection="1"/>
    <xf numFmtId="0" fontId="15" fillId="3" borderId="0" xfId="0" applyFont="1" applyFill="1" applyProtection="1"/>
    <xf numFmtId="164" fontId="9" fillId="0" borderId="0" xfId="0" applyNumberFormat="1" applyFont="1" applyFill="1" applyAlignment="1" applyProtection="1">
      <alignment horizontal="center"/>
    </xf>
    <xf numFmtId="164" fontId="15" fillId="3" borderId="0" xfId="0" applyNumberFormat="1" applyFont="1" applyFill="1" applyAlignment="1" applyProtection="1">
      <alignment horizontal="center"/>
    </xf>
    <xf numFmtId="164" fontId="9" fillId="0" borderId="0" xfId="0" applyNumberFormat="1" applyFont="1" applyAlignment="1" applyProtection="1">
      <alignment horizontal="center"/>
    </xf>
    <xf numFmtId="0" fontId="18" fillId="2" borderId="0" xfId="0" applyFont="1" applyFill="1" applyProtection="1"/>
    <xf numFmtId="0" fontId="11" fillId="0" borderId="0" xfId="0" quotePrefix="1" applyFont="1" applyProtection="1"/>
    <xf numFmtId="164" fontId="1" fillId="0" borderId="5"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64" fontId="4" fillId="0" borderId="6" xfId="0" applyNumberFormat="1" applyFont="1" applyFill="1" applyBorder="1" applyAlignment="1" applyProtection="1">
      <alignment horizontal="center"/>
    </xf>
    <xf numFmtId="164" fontId="4" fillId="0" borderId="7" xfId="0" applyNumberFormat="1" applyFont="1" applyFill="1" applyBorder="1" applyAlignment="1" applyProtection="1">
      <alignment horizontal="center"/>
    </xf>
    <xf numFmtId="164" fontId="8" fillId="0" borderId="6" xfId="0" applyNumberFormat="1" applyFont="1" applyFill="1" applyBorder="1" applyAlignment="1" applyProtection="1">
      <alignment horizontal="center"/>
    </xf>
    <xf numFmtId="164" fontId="1" fillId="0" borderId="8" xfId="0" applyNumberFormat="1" applyFont="1" applyFill="1" applyBorder="1" applyAlignment="1" applyProtection="1">
      <alignment horizontal="center"/>
    </xf>
    <xf numFmtId="164" fontId="9" fillId="0" borderId="6" xfId="0" applyNumberFormat="1" applyFont="1" applyFill="1" applyBorder="1" applyAlignment="1" applyProtection="1">
      <alignment horizontal="center"/>
    </xf>
    <xf numFmtId="10" fontId="4" fillId="0" borderId="9" xfId="1" applyNumberFormat="1" applyFont="1" applyFill="1" applyBorder="1" applyAlignment="1" applyProtection="1">
      <alignment horizontal="center"/>
    </xf>
    <xf numFmtId="0" fontId="20" fillId="0" borderId="0" xfId="0" applyFont="1" applyProtection="1"/>
    <xf numFmtId="0" fontId="22" fillId="0" borderId="0" xfId="0" applyNumberFormat="1" applyFont="1" applyFill="1" applyAlignment="1" applyProtection="1">
      <alignment horizontal="left" vertical="top"/>
    </xf>
    <xf numFmtId="0" fontId="21" fillId="0" borderId="0" xfId="0" quotePrefix="1" applyFont="1" applyAlignment="1" applyProtection="1">
      <alignment vertical="top"/>
    </xf>
    <xf numFmtId="0" fontId="4" fillId="0" borderId="0" xfId="0" applyFont="1" applyAlignment="1">
      <alignment horizontal="left" vertical="center"/>
    </xf>
    <xf numFmtId="0" fontId="23" fillId="0" borderId="0" xfId="0" applyFont="1"/>
    <xf numFmtId="0" fontId="24" fillId="0" borderId="0" xfId="0" applyFont="1"/>
    <xf numFmtId="0" fontId="0" fillId="0" borderId="0" xfId="0" quotePrefix="1" applyAlignment="1">
      <alignment wrapText="1"/>
    </xf>
    <xf numFmtId="0" fontId="26" fillId="0" borderId="0" xfId="0" applyFont="1" applyAlignment="1">
      <alignment wrapText="1"/>
    </xf>
    <xf numFmtId="165" fontId="10" fillId="3" borderId="0" xfId="0" applyNumberFormat="1" applyFont="1" applyFill="1" applyBorder="1" applyAlignment="1" applyProtection="1">
      <alignment horizontal="right"/>
    </xf>
    <xf numFmtId="165" fontId="10" fillId="3" borderId="0" xfId="0" applyNumberFormat="1" applyFont="1" applyFill="1" applyBorder="1" applyProtection="1"/>
    <xf numFmtId="0" fontId="10" fillId="3" borderId="0" xfId="0" applyFont="1" applyFill="1" applyBorder="1" applyAlignment="1" applyProtection="1">
      <alignment horizontal="right"/>
    </xf>
    <xf numFmtId="10" fontId="10" fillId="3" borderId="0" xfId="0" applyNumberFormat="1" applyFont="1" applyFill="1" applyBorder="1" applyProtection="1"/>
    <xf numFmtId="165" fontId="17" fillId="3" borderId="0" xfId="0" applyNumberFormat="1" applyFont="1" applyFill="1" applyBorder="1" applyAlignment="1" applyProtection="1">
      <alignment horizontal="right"/>
    </xf>
    <xf numFmtId="4" fontId="17" fillId="3" borderId="0" xfId="0" applyNumberFormat="1" applyFont="1" applyFill="1" applyBorder="1" applyAlignment="1" applyProtection="1">
      <alignment horizontal="right"/>
    </xf>
    <xf numFmtId="10" fontId="17" fillId="3" borderId="0" xfId="0" applyNumberFormat="1" applyFont="1" applyFill="1" applyBorder="1" applyAlignment="1" applyProtection="1">
      <alignment horizontal="right"/>
    </xf>
    <xf numFmtId="0" fontId="17" fillId="3" borderId="0" xfId="0" applyFont="1" applyFill="1" applyBorder="1" applyAlignment="1" applyProtection="1">
      <alignment horizontal="right"/>
    </xf>
    <xf numFmtId="0" fontId="19" fillId="4" borderId="0" xfId="0" applyFont="1" applyFill="1" applyAlignment="1" applyProtection="1"/>
    <xf numFmtId="164" fontId="18" fillId="2" borderId="0" xfId="0" applyNumberFormat="1" applyFont="1" applyFill="1" applyAlignment="1" applyProtection="1">
      <alignment horizontal="center"/>
    </xf>
    <xf numFmtId="9" fontId="7" fillId="4" borderId="0" xfId="1" applyFont="1" applyFill="1" applyAlignment="1" applyProtection="1">
      <alignment horizontal="center"/>
    </xf>
    <xf numFmtId="0" fontId="1" fillId="0" borderId="0" xfId="0" applyFont="1" applyFill="1" applyAlignment="1" applyProtection="1"/>
    <xf numFmtId="164" fontId="18" fillId="2" borderId="6" xfId="0" applyNumberFormat="1" applyFont="1" applyFill="1" applyBorder="1" applyAlignment="1" applyProtection="1">
      <alignment horizontal="center"/>
    </xf>
    <xf numFmtId="165" fontId="4" fillId="0" borderId="7" xfId="0" applyNumberFormat="1" applyFont="1" applyFill="1" applyBorder="1" applyAlignment="1" applyProtection="1">
      <alignment horizontal="center"/>
    </xf>
    <xf numFmtId="0" fontId="4" fillId="0" borderId="0" xfId="0" applyFont="1" applyAlignment="1" applyProtection="1">
      <alignment horizontal="left" vertical="center"/>
    </xf>
    <xf numFmtId="0" fontId="23" fillId="0" borderId="10" xfId="0" applyFont="1" applyBorder="1" applyAlignment="1" applyProtection="1">
      <alignment vertical="top"/>
    </xf>
    <xf numFmtId="0" fontId="23" fillId="0" borderId="11" xfId="0" applyFont="1" applyBorder="1" applyAlignment="1" applyProtection="1">
      <alignment vertical="top"/>
    </xf>
    <xf numFmtId="0" fontId="23" fillId="0" borderId="0" xfId="0" applyFont="1" applyProtection="1"/>
    <xf numFmtId="0" fontId="23" fillId="0" borderId="10" xfId="0" applyFont="1" applyBorder="1" applyProtection="1"/>
    <xf numFmtId="0" fontId="23" fillId="0" borderId="16" xfId="0" applyFont="1" applyBorder="1" applyAlignment="1" applyProtection="1">
      <alignment horizontal="left" vertical="center"/>
    </xf>
    <xf numFmtId="0" fontId="23" fillId="0" borderId="16" xfId="0" applyFont="1" applyBorder="1" applyProtection="1"/>
    <xf numFmtId="0" fontId="23" fillId="0" borderId="11" xfId="0" applyFont="1" applyBorder="1" applyProtection="1"/>
    <xf numFmtId="0" fontId="4" fillId="0" borderId="12" xfId="0" applyFont="1" applyBorder="1" applyAlignment="1" applyProtection="1">
      <alignment vertical="top"/>
    </xf>
    <xf numFmtId="0" fontId="4" fillId="0" borderId="13" xfId="0" applyFont="1" applyBorder="1" applyAlignment="1" applyProtection="1">
      <alignment vertical="top"/>
    </xf>
    <xf numFmtId="0" fontId="4" fillId="0" borderId="12" xfId="0" applyFont="1" applyBorder="1" applyProtection="1"/>
    <xf numFmtId="0" fontId="4" fillId="0" borderId="0" xfId="0" applyFont="1" applyBorder="1" applyAlignment="1" applyProtection="1">
      <alignment horizontal="left" vertical="center"/>
    </xf>
    <xf numFmtId="0" fontId="4" fillId="0" borderId="0" xfId="0" applyFont="1" applyBorder="1" applyProtection="1"/>
    <xf numFmtId="0" fontId="4" fillId="0" borderId="13" xfId="0" applyFont="1" applyBorder="1" applyProtection="1"/>
    <xf numFmtId="0" fontId="4" fillId="0" borderId="12" xfId="0" applyFont="1" applyBorder="1" applyAlignment="1" applyProtection="1">
      <alignment vertical="top" wrapText="1"/>
    </xf>
    <xf numFmtId="0" fontId="4" fillId="0" borderId="13" xfId="0" applyFont="1" applyBorder="1" applyAlignment="1" applyProtection="1">
      <alignment vertical="top" wrapText="1"/>
    </xf>
    <xf numFmtId="0" fontId="4" fillId="0" borderId="12" xfId="0" applyFont="1" applyBorder="1" applyAlignment="1" applyProtection="1">
      <alignment vertical="center"/>
    </xf>
    <xf numFmtId="6" fontId="4" fillId="0" borderId="0" xfId="0" applyNumberFormat="1" applyFont="1" applyBorder="1" applyAlignment="1" applyProtection="1">
      <alignment horizontal="left" vertical="center"/>
    </xf>
    <xf numFmtId="0" fontId="4" fillId="0" borderId="0" xfId="0" applyFont="1" applyBorder="1" applyAlignment="1" applyProtection="1">
      <alignment vertical="center" wrapText="1"/>
    </xf>
    <xf numFmtId="6" fontId="4" fillId="0" borderId="13" xfId="0" applyNumberFormat="1" applyFont="1" applyBorder="1" applyAlignment="1" applyProtection="1">
      <alignment horizontal="left" vertical="center"/>
    </xf>
    <xf numFmtId="0" fontId="4" fillId="0" borderId="0" xfId="0" applyFont="1" applyBorder="1" applyAlignment="1" applyProtection="1">
      <alignment vertical="center"/>
    </xf>
    <xf numFmtId="0" fontId="4" fillId="0" borderId="13" xfId="0" applyFont="1" applyBorder="1" applyAlignment="1" applyProtection="1">
      <alignment horizontal="left" vertical="center"/>
    </xf>
    <xf numFmtId="0" fontId="4" fillId="0" borderId="12" xfId="0" applyFont="1" applyBorder="1" applyAlignment="1" applyProtection="1">
      <alignment vertical="center" wrapText="1"/>
    </xf>
    <xf numFmtId="0" fontId="4" fillId="0" borderId="14" xfId="0" applyFont="1" applyBorder="1" applyAlignment="1" applyProtection="1">
      <alignment vertical="top" wrapText="1"/>
    </xf>
    <xf numFmtId="0" fontId="4" fillId="0" borderId="15" xfId="0" applyFont="1" applyBorder="1" applyAlignment="1" applyProtection="1">
      <alignment vertical="top" wrapText="1"/>
    </xf>
    <xf numFmtId="0" fontId="11" fillId="0" borderId="0" xfId="0" applyFont="1" applyProtection="1"/>
    <xf numFmtId="164" fontId="1" fillId="5" borderId="1" xfId="0" applyNumberFormat="1" applyFont="1" applyFill="1" applyBorder="1" applyAlignment="1" applyProtection="1">
      <alignment horizontal="center"/>
      <protection locked="0"/>
    </xf>
    <xf numFmtId="1" fontId="1" fillId="5" borderId="1" xfId="0" applyNumberFormat="1" applyFont="1" applyFill="1" applyBorder="1" applyAlignment="1" applyProtection="1">
      <alignment horizontal="center"/>
      <protection locked="0"/>
    </xf>
    <xf numFmtId="0" fontId="1" fillId="0" borderId="2" xfId="0" applyFont="1" applyBorder="1" applyProtection="1"/>
    <xf numFmtId="0" fontId="27" fillId="0" borderId="0" xfId="0" applyFont="1" applyAlignment="1">
      <alignment wrapText="1"/>
    </xf>
    <xf numFmtId="0" fontId="1" fillId="4" borderId="0" xfId="0" applyFont="1" applyFill="1" applyProtection="1"/>
    <xf numFmtId="9" fontId="1" fillId="4" borderId="6" xfId="1" applyNumberFormat="1" applyFont="1" applyFill="1" applyBorder="1" applyAlignment="1" applyProtection="1">
      <alignment horizontal="center"/>
    </xf>
    <xf numFmtId="9" fontId="1" fillId="0" borderId="0" xfId="0" applyNumberFormat="1" applyFont="1" applyAlignment="1" applyProtection="1">
      <alignment horizontal="center"/>
    </xf>
    <xf numFmtId="9" fontId="13" fillId="3" borderId="0" xfId="0" applyNumberFormat="1" applyFont="1" applyFill="1" applyAlignment="1" applyProtection="1">
      <alignment horizontal="center"/>
    </xf>
    <xf numFmtId="0" fontId="7" fillId="3" borderId="0" xfId="0" applyFont="1" applyFill="1" applyAlignment="1" applyProtection="1">
      <alignment horizontal="center"/>
    </xf>
    <xf numFmtId="0" fontId="11" fillId="3" borderId="0" xfId="0" applyFont="1" applyFill="1" applyAlignment="1" applyProtection="1">
      <alignment horizontal="center"/>
    </xf>
    <xf numFmtId="164" fontId="11" fillId="3" borderId="0" xfId="0" applyNumberFormat="1" applyFont="1" applyFill="1" applyAlignment="1" applyProtection="1">
      <alignment horizontal="center"/>
    </xf>
    <xf numFmtId="0" fontId="4" fillId="3" borderId="0" xfId="0" applyFont="1" applyFill="1" applyAlignment="1" applyProtection="1">
      <alignment horizontal="center"/>
    </xf>
    <xf numFmtId="9" fontId="7" fillId="3" borderId="0" xfId="1" applyFont="1" applyFill="1" applyAlignment="1" applyProtection="1">
      <alignment horizontal="center"/>
    </xf>
    <xf numFmtId="164" fontId="28" fillId="6" borderId="0" xfId="0" applyNumberFormat="1" applyFont="1" applyFill="1" applyAlignment="1" applyProtection="1">
      <alignment horizontal="center"/>
    </xf>
    <xf numFmtId="164" fontId="18" fillId="6" borderId="6" xfId="0" applyNumberFormat="1" applyFont="1" applyFill="1" applyBorder="1" applyAlignment="1" applyProtection="1">
      <alignment horizontal="center"/>
    </xf>
    <xf numFmtId="164" fontId="4" fillId="3" borderId="6" xfId="0" applyNumberFormat="1" applyFont="1" applyFill="1" applyBorder="1" applyAlignment="1" applyProtection="1">
      <alignment horizontal="center"/>
    </xf>
    <xf numFmtId="9" fontId="1" fillId="3" borderId="6" xfId="1" applyNumberFormat="1" applyFont="1" applyFill="1" applyBorder="1" applyAlignment="1" applyProtection="1">
      <alignment horizontal="center"/>
    </xf>
    <xf numFmtId="10" fontId="4" fillId="3" borderId="9" xfId="1" applyNumberFormat="1" applyFont="1" applyFill="1" applyBorder="1" applyAlignment="1" applyProtection="1">
      <alignment horizontal="center"/>
    </xf>
    <xf numFmtId="164" fontId="1" fillId="3" borderId="5" xfId="0" applyNumberFormat="1" applyFont="1" applyFill="1" applyBorder="1" applyAlignment="1" applyProtection="1">
      <alignment horizontal="center"/>
    </xf>
    <xf numFmtId="164" fontId="1" fillId="3" borderId="6" xfId="0" applyNumberFormat="1" applyFont="1" applyFill="1" applyBorder="1" applyAlignment="1" applyProtection="1">
      <alignment horizontal="center"/>
    </xf>
    <xf numFmtId="164" fontId="4" fillId="3" borderId="7" xfId="0" applyNumberFormat="1" applyFont="1" applyFill="1" applyBorder="1" applyAlignment="1" applyProtection="1">
      <alignment horizontal="center"/>
    </xf>
    <xf numFmtId="164" fontId="8" fillId="3" borderId="6" xfId="0" applyNumberFormat="1" applyFont="1" applyFill="1" applyBorder="1" applyAlignment="1" applyProtection="1">
      <alignment horizontal="center"/>
    </xf>
    <xf numFmtId="164" fontId="1" fillId="3" borderId="8" xfId="0" applyNumberFormat="1" applyFont="1" applyFill="1" applyBorder="1" applyAlignment="1" applyProtection="1">
      <alignment horizontal="center"/>
    </xf>
    <xf numFmtId="164" fontId="9" fillId="3" borderId="6" xfId="0" applyNumberFormat="1" applyFont="1" applyFill="1" applyBorder="1" applyAlignment="1" applyProtection="1">
      <alignment horizontal="center"/>
    </xf>
    <xf numFmtId="165" fontId="4" fillId="0" borderId="0" xfId="0" applyNumberFormat="1" applyFont="1" applyAlignment="1" applyProtection="1">
      <alignment horizontal="center"/>
    </xf>
    <xf numFmtId="0" fontId="0" fillId="0" borderId="0" xfId="0" applyFill="1" applyBorder="1" applyProtection="1"/>
    <xf numFmtId="164" fontId="1" fillId="0" borderId="0" xfId="0" applyNumberFormat="1" applyFont="1" applyFill="1" applyBorder="1" applyAlignment="1" applyProtection="1">
      <alignment horizontal="center"/>
      <protection locked="0"/>
    </xf>
    <xf numFmtId="4" fontId="12" fillId="3" borderId="0" xfId="0" applyNumberFormat="1" applyFont="1" applyFill="1" applyProtection="1"/>
    <xf numFmtId="0" fontId="25" fillId="5" borderId="0" xfId="0" applyFont="1" applyFill="1" applyAlignment="1" applyProtection="1">
      <alignment horizontal="center"/>
    </xf>
    <xf numFmtId="164" fontId="1" fillId="5" borderId="2" xfId="0" applyNumberFormat="1" applyFont="1" applyFill="1" applyBorder="1" applyAlignment="1" applyProtection="1">
      <alignment horizontal="center"/>
      <protection locked="0"/>
    </xf>
    <xf numFmtId="164" fontId="1" fillId="5" borderId="3" xfId="0" applyNumberFormat="1" applyFont="1" applyFill="1" applyBorder="1" applyAlignment="1" applyProtection="1">
      <alignment horizontal="center"/>
      <protection locked="0"/>
    </xf>
    <xf numFmtId="0" fontId="7" fillId="0" borderId="0" xfId="0" applyFont="1" applyAlignment="1" applyProtection="1">
      <alignment horizontal="center"/>
    </xf>
    <xf numFmtId="0" fontId="6" fillId="0" borderId="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1" fillId="0" borderId="0" xfId="0" applyFont="1" applyAlignment="1" applyProtection="1">
      <alignment horizontal="left" vertical="top" wrapText="1"/>
    </xf>
    <xf numFmtId="0" fontId="2" fillId="0" borderId="0" xfId="0" applyFont="1" applyAlignment="1" applyProtection="1">
      <alignment horizontal="center" vertical="top"/>
    </xf>
    <xf numFmtId="0" fontId="21" fillId="0" borderId="0" xfId="0" quotePrefix="1" applyFont="1" applyAlignment="1" applyProtection="1">
      <alignment horizontal="left" vertical="top" wrapText="1"/>
    </xf>
    <xf numFmtId="0" fontId="21" fillId="0" borderId="0" xfId="0" applyFont="1" applyAlignment="1" applyProtection="1">
      <alignment horizontal="left" vertical="top" wrapText="1"/>
    </xf>
    <xf numFmtId="0" fontId="11" fillId="0" borderId="14" xfId="0" applyFont="1" applyBorder="1" applyAlignment="1" applyProtection="1">
      <alignment horizontal="left" vertical="top" wrapText="1"/>
    </xf>
    <xf numFmtId="0" fontId="11" fillId="0" borderId="17" xfId="0" applyFont="1" applyBorder="1" applyAlignment="1" applyProtection="1">
      <alignment horizontal="left" vertical="top" wrapText="1"/>
    </xf>
    <xf numFmtId="0" fontId="11" fillId="0" borderId="15" xfId="0" applyFont="1" applyBorder="1" applyAlignment="1" applyProtection="1">
      <alignment horizontal="left" vertical="top" wrapText="1"/>
    </xf>
    <xf numFmtId="0" fontId="2" fillId="0" borderId="0" xfId="0" applyFont="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colors>
    <mruColors>
      <color rgb="FFEE3124"/>
      <color rgb="FFFFB6C1"/>
      <color rgb="FF6369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139999</xdr:colOff>
      <xdr:row>3</xdr:row>
      <xdr:rowOff>21088</xdr:rowOff>
    </xdr:from>
    <xdr:to>
      <xdr:col>5</xdr:col>
      <xdr:colOff>185252</xdr:colOff>
      <xdr:row>4</xdr:row>
      <xdr:rowOff>184605</xdr:rowOff>
    </xdr:to>
    <xdr:sp macro="" textlink="">
      <xdr:nvSpPr>
        <xdr:cNvPr id="2" name="TextBox 1"/>
        <xdr:cNvSpPr txBox="1"/>
      </xdr:nvSpPr>
      <xdr:spPr>
        <a:xfrm rot="21266149">
          <a:off x="139999" y="668788"/>
          <a:ext cx="3579028" cy="35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400" b="1">
              <a:solidFill>
                <a:srgbClr val="EE3124"/>
              </a:solidFill>
              <a:latin typeface="MV Boli" panose="02000500030200090000" pitchFamily="2" charset="0"/>
              <a:cs typeface="MV Boli" panose="02000500030200090000" pitchFamily="2" charset="0"/>
            </a:rPr>
            <a:t>Fill in your Tax &amp; Current Pay Details</a:t>
          </a:r>
        </a:p>
      </xdr:txBody>
    </xdr:sp>
    <xdr:clientData/>
  </xdr:twoCellAnchor>
  <xdr:twoCellAnchor>
    <xdr:from>
      <xdr:col>0</xdr:col>
      <xdr:colOff>171858</xdr:colOff>
      <xdr:row>10</xdr:row>
      <xdr:rowOff>172402</xdr:rowOff>
    </xdr:from>
    <xdr:to>
      <xdr:col>5</xdr:col>
      <xdr:colOff>217111</xdr:colOff>
      <xdr:row>15</xdr:row>
      <xdr:rowOff>34609</xdr:rowOff>
    </xdr:to>
    <xdr:sp macro="" textlink="">
      <xdr:nvSpPr>
        <xdr:cNvPr id="3" name="TextBox 2"/>
        <xdr:cNvSpPr txBox="1"/>
      </xdr:nvSpPr>
      <xdr:spPr>
        <a:xfrm rot="21266149">
          <a:off x="171858" y="2344102"/>
          <a:ext cx="3645703" cy="814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400" b="1">
              <a:solidFill>
                <a:srgbClr val="EE3124"/>
              </a:solidFill>
              <a:latin typeface="MV Boli" panose="02000500030200090000" pitchFamily="2" charset="0"/>
              <a:cs typeface="MV Boli" panose="02000500030200090000" pitchFamily="2" charset="0"/>
            </a:rPr>
            <a:t>Now check and see how much you </a:t>
          </a:r>
        </a:p>
        <a:p>
          <a:r>
            <a:rPr lang="en-IE" sz="1400" b="1">
              <a:solidFill>
                <a:srgbClr val="EE3124"/>
              </a:solidFill>
              <a:latin typeface="MV Boli" panose="02000500030200090000" pitchFamily="2" charset="0"/>
              <a:cs typeface="MV Boli" panose="02000500030200090000" pitchFamily="2" charset="0"/>
            </a:rPr>
            <a:t>can make Contracting</a:t>
          </a:r>
        </a:p>
      </xdr:txBody>
    </xdr:sp>
    <xdr:clientData/>
  </xdr:twoCellAnchor>
  <xdr:twoCellAnchor>
    <xdr:from>
      <xdr:col>0</xdr:col>
      <xdr:colOff>246261</xdr:colOff>
      <xdr:row>27</xdr:row>
      <xdr:rowOff>161916</xdr:rowOff>
    </xdr:from>
    <xdr:to>
      <xdr:col>6</xdr:col>
      <xdr:colOff>271523</xdr:colOff>
      <xdr:row>32</xdr:row>
      <xdr:rowOff>0</xdr:rowOff>
    </xdr:to>
    <xdr:sp macro="" textlink="">
      <xdr:nvSpPr>
        <xdr:cNvPr id="5" name="TextBox 4"/>
        <xdr:cNvSpPr txBox="1"/>
      </xdr:nvSpPr>
      <xdr:spPr>
        <a:xfrm rot="21266149">
          <a:off x="246261" y="6457941"/>
          <a:ext cx="4235312" cy="824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400" b="1">
              <a:solidFill>
                <a:srgbClr val="EE3124"/>
              </a:solidFill>
              <a:latin typeface="MV Boli" panose="02000500030200090000" pitchFamily="2" charset="0"/>
              <a:cs typeface="MV Boli" panose="02000500030200090000" pitchFamily="2" charset="0"/>
            </a:rPr>
            <a:t>Here's a summary of your take-home pay </a:t>
          </a:r>
        </a:p>
        <a:p>
          <a:r>
            <a:rPr lang="en-IE" sz="1400" b="1">
              <a:solidFill>
                <a:srgbClr val="EE3124"/>
              </a:solidFill>
              <a:latin typeface="MV Boli" panose="02000500030200090000" pitchFamily="2" charset="0"/>
              <a:cs typeface="MV Boli" panose="02000500030200090000" pitchFamily="2" charset="0"/>
            </a:rPr>
            <a:t>from Contracting versus PAYE employment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showRowColHeaders="0" tabSelected="1" showRuler="0" view="pageLayout" zoomScaleNormal="100" zoomScaleSheetLayoutView="100" workbookViewId="0">
      <selection activeCell="C7" sqref="C7"/>
    </sheetView>
  </sheetViews>
  <sheetFormatPr defaultRowHeight="15" x14ac:dyDescent="0.25"/>
  <cols>
    <col min="1" max="1" width="3.7109375" style="3" customWidth="1"/>
    <col min="2" max="2" width="28.5703125" style="3" customWidth="1"/>
    <col min="3" max="4" width="11.5703125" style="3" customWidth="1"/>
    <col min="5" max="5" width="10.140625" style="3" bestFit="1" customWidth="1"/>
    <col min="6" max="6" width="11.140625" style="3" bestFit="1" customWidth="1"/>
    <col min="7" max="7" width="9.140625" style="3"/>
    <col min="8" max="8" width="11.28515625" style="3" bestFit="1" customWidth="1"/>
    <col min="9" max="10" width="9.140625" style="3"/>
    <col min="11" max="12" width="0" style="3" hidden="1" customWidth="1"/>
    <col min="13" max="16384" width="9.140625" style="3"/>
  </cols>
  <sheetData>
    <row r="1" spans="1:12" ht="36.75" customHeight="1" x14ac:dyDescent="0.35">
      <c r="B1" s="4" t="s">
        <v>85</v>
      </c>
    </row>
    <row r="2" spans="1:12" x14ac:dyDescent="0.25">
      <c r="A2" s="125" t="s">
        <v>86</v>
      </c>
      <c r="B2" s="125"/>
      <c r="C2" s="125"/>
      <c r="D2" s="125"/>
      <c r="E2" s="125"/>
      <c r="F2" s="125"/>
      <c r="G2" s="125"/>
      <c r="H2" s="125"/>
    </row>
    <row r="6" spans="1:12" ht="15.75" thickBot="1" x14ac:dyDescent="0.3"/>
    <row r="7" spans="1:12" ht="15.75" thickBot="1" x14ac:dyDescent="0.3">
      <c r="B7" s="5" t="s">
        <v>0</v>
      </c>
      <c r="C7" s="97">
        <v>34550</v>
      </c>
      <c r="D7" s="123"/>
      <c r="G7" s="5" t="s">
        <v>22</v>
      </c>
      <c r="H7" s="97">
        <v>84000</v>
      </c>
    </row>
    <row r="8" spans="1:12" ht="15.75" thickBot="1" x14ac:dyDescent="0.3">
      <c r="B8" s="5" t="s">
        <v>1</v>
      </c>
      <c r="C8" s="97">
        <v>1650</v>
      </c>
      <c r="D8" s="123"/>
      <c r="G8" s="5" t="s">
        <v>100</v>
      </c>
      <c r="H8" s="97" t="s">
        <v>101</v>
      </c>
      <c r="K8" s="3" t="s">
        <v>103</v>
      </c>
      <c r="L8" s="122" t="s">
        <v>101</v>
      </c>
    </row>
    <row r="9" spans="1:12" ht="15.75" thickBot="1" x14ac:dyDescent="0.3">
      <c r="B9" s="5" t="s">
        <v>2</v>
      </c>
      <c r="C9" s="97">
        <v>1650</v>
      </c>
      <c r="D9" s="123"/>
      <c r="G9" s="5" t="s">
        <v>102</v>
      </c>
      <c r="H9" s="97" t="s">
        <v>103</v>
      </c>
    </row>
    <row r="10" spans="1:12" ht="30" customHeight="1" x14ac:dyDescent="0.25">
      <c r="B10" s="129" t="s">
        <v>21</v>
      </c>
      <c r="C10" s="129"/>
      <c r="D10" s="129"/>
      <c r="E10" s="129"/>
      <c r="F10" s="129"/>
      <c r="G10" s="129"/>
      <c r="H10" s="129"/>
    </row>
    <row r="12" spans="1:12" x14ac:dyDescent="0.25">
      <c r="A12" s="6"/>
      <c r="B12" s="6"/>
      <c r="C12" s="6"/>
      <c r="D12" s="6"/>
      <c r="E12" s="6"/>
      <c r="F12" s="6"/>
      <c r="G12" s="6"/>
      <c r="H12" s="6"/>
    </row>
    <row r="13" spans="1:12" x14ac:dyDescent="0.25">
      <c r="A13" s="6"/>
      <c r="B13" s="6"/>
      <c r="C13" s="6"/>
      <c r="D13" s="6"/>
      <c r="E13" s="6"/>
      <c r="F13" s="6"/>
      <c r="G13" s="6"/>
      <c r="H13" s="6"/>
    </row>
    <row r="14" spans="1:12" x14ac:dyDescent="0.25">
      <c r="A14" s="6"/>
      <c r="B14" s="6"/>
      <c r="C14" s="6"/>
      <c r="D14" s="6"/>
      <c r="E14" s="6"/>
      <c r="F14" s="6"/>
      <c r="G14" s="6"/>
      <c r="H14" s="6"/>
    </row>
    <row r="15" spans="1:12" ht="15.75" thickBot="1" x14ac:dyDescent="0.3">
      <c r="A15" s="6"/>
      <c r="B15" s="6"/>
      <c r="C15" s="6"/>
      <c r="D15" s="6"/>
      <c r="E15" s="6"/>
      <c r="F15" s="6"/>
      <c r="G15" s="6"/>
      <c r="H15" s="6"/>
    </row>
    <row r="16" spans="1:12" ht="15.75" thickBot="1" x14ac:dyDescent="0.3">
      <c r="A16" s="6"/>
      <c r="C16" s="5" t="s">
        <v>23</v>
      </c>
      <c r="D16" s="5"/>
      <c r="E16" s="97">
        <v>400</v>
      </c>
      <c r="F16" s="6"/>
      <c r="G16" s="6"/>
      <c r="H16" s="6"/>
    </row>
    <row r="17" spans="1:8" ht="15.75" thickBot="1" x14ac:dyDescent="0.3">
      <c r="A17" s="6"/>
      <c r="C17" s="5" t="s">
        <v>24</v>
      </c>
      <c r="D17" s="5"/>
      <c r="E17" s="98">
        <v>20</v>
      </c>
      <c r="F17" s="6"/>
      <c r="G17" s="6"/>
      <c r="H17" s="6"/>
    </row>
    <row r="18" spans="1:8" ht="29.25" customHeight="1" x14ac:dyDescent="0.25">
      <c r="A18" s="6"/>
      <c r="B18" s="130" t="s">
        <v>87</v>
      </c>
      <c r="C18" s="130"/>
      <c r="D18" s="130"/>
      <c r="E18" s="130"/>
      <c r="F18" s="130"/>
      <c r="G18" s="130"/>
      <c r="H18" s="130"/>
    </row>
    <row r="19" spans="1:8" ht="8.25" customHeight="1" x14ac:dyDescent="0.25">
      <c r="A19" s="6"/>
      <c r="B19" s="6"/>
      <c r="C19" s="6"/>
      <c r="D19" s="6"/>
      <c r="E19" s="6"/>
      <c r="F19" s="6"/>
      <c r="G19" s="6"/>
      <c r="H19" s="6"/>
    </row>
    <row r="20" spans="1:8" ht="61.5" customHeight="1" thickBot="1" x14ac:dyDescent="0.3">
      <c r="A20" s="6"/>
      <c r="B20" s="131" t="s">
        <v>38</v>
      </c>
      <c r="C20" s="131"/>
      <c r="D20" s="131"/>
      <c r="E20" s="131"/>
      <c r="F20" s="131"/>
      <c r="G20" s="131"/>
      <c r="H20" s="131"/>
    </row>
    <row r="21" spans="1:8" ht="15.75" thickBot="1" x14ac:dyDescent="0.3">
      <c r="A21" s="6"/>
      <c r="B21" s="7" t="s">
        <v>98</v>
      </c>
      <c r="C21" s="8"/>
      <c r="D21" s="8"/>
      <c r="E21" s="8"/>
      <c r="F21" s="9"/>
      <c r="G21" s="126">
        <v>90</v>
      </c>
      <c r="H21" s="127"/>
    </row>
    <row r="22" spans="1:8" ht="15.75" thickBot="1" x14ac:dyDescent="0.3">
      <c r="A22" s="6"/>
      <c r="B22" s="7" t="s">
        <v>71</v>
      </c>
      <c r="C22" s="8"/>
      <c r="D22" s="8"/>
      <c r="E22" s="8"/>
      <c r="F22" s="9"/>
      <c r="G22" s="126">
        <v>150</v>
      </c>
      <c r="H22" s="127"/>
    </row>
    <row r="23" spans="1:8" ht="15.75" thickBot="1" x14ac:dyDescent="0.3">
      <c r="A23" s="6"/>
      <c r="B23" s="7" t="s">
        <v>99</v>
      </c>
      <c r="C23" s="8"/>
      <c r="D23" s="8"/>
      <c r="E23" s="8"/>
      <c r="F23" s="9"/>
      <c r="G23" s="126">
        <v>200</v>
      </c>
      <c r="H23" s="127"/>
    </row>
    <row r="24" spans="1:8" ht="15.75" thickBot="1" x14ac:dyDescent="0.3">
      <c r="A24" s="6"/>
      <c r="B24" s="7" t="s">
        <v>88</v>
      </c>
      <c r="C24" s="8"/>
      <c r="D24" s="8"/>
      <c r="E24" s="8"/>
      <c r="F24" s="9"/>
      <c r="G24" s="126">
        <v>125</v>
      </c>
      <c r="H24" s="127"/>
    </row>
    <row r="25" spans="1:8" ht="15.75" thickBot="1" x14ac:dyDescent="0.3">
      <c r="A25" s="6"/>
      <c r="B25" s="7" t="s">
        <v>27</v>
      </c>
      <c r="C25" s="8"/>
      <c r="D25" s="8"/>
      <c r="E25" s="8"/>
      <c r="F25" s="9"/>
      <c r="G25" s="126">
        <v>100</v>
      </c>
      <c r="H25" s="127"/>
    </row>
    <row r="26" spans="1:8" ht="15.75" thickBot="1" x14ac:dyDescent="0.3">
      <c r="A26" s="6"/>
      <c r="B26" s="7" t="s">
        <v>26</v>
      </c>
      <c r="C26" s="8"/>
      <c r="D26" s="8"/>
      <c r="E26" s="8"/>
      <c r="F26" s="9"/>
      <c r="G26" s="126">
        <v>100</v>
      </c>
      <c r="H26" s="127"/>
    </row>
    <row r="27" spans="1:8" ht="15.75" thickBot="1" x14ac:dyDescent="0.3">
      <c r="A27" s="6"/>
      <c r="B27" s="99" t="s">
        <v>97</v>
      </c>
      <c r="C27" s="8"/>
      <c r="D27" s="8"/>
      <c r="E27" s="8"/>
      <c r="F27" s="9"/>
      <c r="G27" s="126">
        <f>(E16*E17)*8%</f>
        <v>640</v>
      </c>
      <c r="H27" s="127"/>
    </row>
    <row r="28" spans="1:8" x14ac:dyDescent="0.25">
      <c r="A28" s="6"/>
      <c r="B28" s="6"/>
      <c r="C28" s="6"/>
      <c r="D28" s="6"/>
      <c r="E28" s="6"/>
      <c r="F28" s="6"/>
      <c r="G28" s="6"/>
      <c r="H28" s="6"/>
    </row>
    <row r="29" spans="1:8" x14ac:dyDescent="0.25">
      <c r="A29" s="6"/>
      <c r="B29" s="6"/>
      <c r="C29" s="6"/>
      <c r="D29" s="6"/>
      <c r="E29" s="6"/>
      <c r="F29" s="6"/>
      <c r="G29" s="6"/>
      <c r="H29" s="6"/>
    </row>
    <row r="30" spans="1:8" x14ac:dyDescent="0.25">
      <c r="A30" s="6"/>
      <c r="B30" s="6"/>
      <c r="C30" s="6"/>
      <c r="D30" s="6"/>
      <c r="E30" s="6"/>
      <c r="F30" s="6"/>
      <c r="G30" s="6"/>
      <c r="H30" s="6"/>
    </row>
    <row r="31" spans="1:8" x14ac:dyDescent="0.25">
      <c r="A31" s="6"/>
      <c r="B31" s="6"/>
      <c r="C31" s="6"/>
      <c r="D31" s="6"/>
      <c r="E31" s="6"/>
      <c r="F31" s="6"/>
      <c r="G31" s="6"/>
      <c r="H31" s="6"/>
    </row>
    <row r="32" spans="1:8" x14ac:dyDescent="0.25">
      <c r="A32" s="6"/>
      <c r="B32" s="6"/>
      <c r="C32" s="6"/>
      <c r="D32" s="6"/>
      <c r="E32" s="6"/>
      <c r="F32" s="6"/>
      <c r="G32" s="6"/>
      <c r="H32" s="6"/>
    </row>
    <row r="33" spans="1:8" s="12" customFormat="1" x14ac:dyDescent="0.25">
      <c r="A33" s="10"/>
      <c r="B33" s="10"/>
      <c r="D33" s="11" t="s">
        <v>34</v>
      </c>
      <c r="E33" s="11"/>
      <c r="F33" s="11" t="s">
        <v>34</v>
      </c>
      <c r="G33" s="11"/>
      <c r="H33" s="105" t="s">
        <v>89</v>
      </c>
    </row>
    <row r="34" spans="1:8" s="12" customFormat="1" x14ac:dyDescent="0.25">
      <c r="A34" s="10"/>
      <c r="D34" s="11" t="s">
        <v>35</v>
      </c>
      <c r="E34" s="11"/>
      <c r="F34" s="11" t="s">
        <v>36</v>
      </c>
      <c r="G34" s="11"/>
      <c r="H34" s="105" t="s">
        <v>90</v>
      </c>
    </row>
    <row r="35" spans="1:8" s="12" customFormat="1" ht="5.25" customHeight="1" x14ac:dyDescent="0.25">
      <c r="A35" s="10"/>
      <c r="B35" s="10"/>
      <c r="D35" s="13"/>
      <c r="E35" s="13"/>
      <c r="F35" s="13"/>
      <c r="G35" s="13"/>
      <c r="H35" s="106"/>
    </row>
    <row r="36" spans="1:8" s="12" customFormat="1" x14ac:dyDescent="0.25">
      <c r="A36" s="10"/>
      <c r="B36" s="10" t="s">
        <v>37</v>
      </c>
      <c r="D36" s="14">
        <f>E16*E17</f>
        <v>8000</v>
      </c>
      <c r="E36" s="14"/>
      <c r="F36" s="14">
        <f>E16*E17</f>
        <v>8000</v>
      </c>
      <c r="G36" s="14"/>
      <c r="H36" s="107">
        <f>H37/12</f>
        <v>7000</v>
      </c>
    </row>
    <row r="37" spans="1:8" s="12" customFormat="1" x14ac:dyDescent="0.25">
      <c r="A37" s="10"/>
      <c r="B37" s="10" t="s">
        <v>33</v>
      </c>
      <c r="D37" s="14">
        <f>D36*12</f>
        <v>96000</v>
      </c>
      <c r="E37" s="14"/>
      <c r="F37" s="14">
        <f>F36*12</f>
        <v>96000</v>
      </c>
      <c r="G37" s="14"/>
      <c r="H37" s="107">
        <f>H7</f>
        <v>84000</v>
      </c>
    </row>
    <row r="38" spans="1:8" s="12" customFormat="1" ht="5.25" customHeight="1" x14ac:dyDescent="0.25">
      <c r="B38" s="10"/>
      <c r="D38" s="13"/>
      <c r="E38" s="13"/>
      <c r="F38" s="13"/>
      <c r="G38" s="13"/>
      <c r="H38" s="106"/>
    </row>
    <row r="39" spans="1:8" s="12" customFormat="1" x14ac:dyDescent="0.25">
      <c r="B39" s="10" t="s">
        <v>57</v>
      </c>
      <c r="D39" s="121">
        <f>D40/12</f>
        <v>5628.878333333334</v>
      </c>
      <c r="E39" s="14"/>
      <c r="F39" s="14">
        <f>F40/12</f>
        <v>5375.1449999999995</v>
      </c>
      <c r="G39" s="14"/>
      <c r="H39" s="107">
        <f>H40/12</f>
        <v>4739.9449999999997</v>
      </c>
    </row>
    <row r="40" spans="1:8" s="12" customFormat="1" ht="18.75" x14ac:dyDescent="0.3">
      <c r="B40" s="65" t="s">
        <v>58</v>
      </c>
      <c r="D40" s="66">
        <f>'Detailed Calculations'!G47+'Detailed Calculations'!G8</f>
        <v>67546.540000000008</v>
      </c>
      <c r="E40" s="38"/>
      <c r="F40" s="66">
        <f>'Detailed Calculations'!L47+'Detailed Calculations'!L8</f>
        <v>64501.74</v>
      </c>
      <c r="G40" s="38"/>
      <c r="H40" s="110">
        <f>'Detailed Calculations'!Q47</f>
        <v>56879.34</v>
      </c>
    </row>
    <row r="41" spans="1:8" s="12" customFormat="1" ht="6" customHeight="1" x14ac:dyDescent="0.25">
      <c r="B41" s="10"/>
      <c r="D41" s="13"/>
      <c r="E41" s="13"/>
      <c r="F41" s="13"/>
      <c r="G41" s="13"/>
      <c r="H41" s="108"/>
    </row>
    <row r="42" spans="1:8" s="12" customFormat="1" x14ac:dyDescent="0.25">
      <c r="B42" s="68" t="s">
        <v>48</v>
      </c>
      <c r="D42" s="67">
        <f>D40/D37</f>
        <v>0.70360979166666671</v>
      </c>
      <c r="E42" s="67"/>
      <c r="F42" s="67">
        <f t="shared" ref="F42:H42" si="0">F40/F37</f>
        <v>0.67189312499999998</v>
      </c>
      <c r="G42" s="67"/>
      <c r="H42" s="109">
        <f t="shared" si="0"/>
        <v>0.67713499999999993</v>
      </c>
    </row>
    <row r="43" spans="1:8" x14ac:dyDescent="0.25">
      <c r="B43" s="6"/>
      <c r="C43" s="15" t="s">
        <v>59</v>
      </c>
      <c r="D43" s="15"/>
      <c r="E43" s="13"/>
      <c r="F43" s="13"/>
      <c r="G43" s="13"/>
      <c r="H43" s="13"/>
    </row>
    <row r="44" spans="1:8" ht="6.75" customHeight="1" x14ac:dyDescent="0.25"/>
    <row r="45" spans="1:8" x14ac:dyDescent="0.25">
      <c r="B45" s="128"/>
      <c r="C45" s="128"/>
      <c r="D45" s="128"/>
      <c r="E45" s="128"/>
      <c r="F45" s="128"/>
      <c r="G45" s="128"/>
      <c r="H45" s="128"/>
    </row>
  </sheetData>
  <sheetProtection algorithmName="SHA-512" hashValue="booLNZxJp5uZnGBRxFBSF6OQzZlb2WCLcNLPFr98P9ICqToXvua1XoYcs+2grlbu+G9GleBB1dG0Uqxmlb848w==" saltValue="ca7d2X7VOelsxX9EbSLoTg==" spinCount="100000" sheet="1" objects="1" scenarios="1" selectLockedCells="1"/>
  <mergeCells count="12">
    <mergeCell ref="A2:H2"/>
    <mergeCell ref="G25:H25"/>
    <mergeCell ref="G26:H26"/>
    <mergeCell ref="B45:H45"/>
    <mergeCell ref="G27:H27"/>
    <mergeCell ref="B10:H10"/>
    <mergeCell ref="B18:H18"/>
    <mergeCell ref="B20:H20"/>
    <mergeCell ref="G21:H21"/>
    <mergeCell ref="G22:H22"/>
    <mergeCell ref="G24:H24"/>
    <mergeCell ref="G23:H23"/>
  </mergeCells>
  <dataValidations disablePrompts="1" count="1">
    <dataValidation type="list" allowBlank="1" showInputMessage="1" showErrorMessage="1" sqref="H8:H9">
      <formula1>$K$8:$L$8</formula1>
    </dataValidation>
  </dataValidations>
  <pageMargins left="7.874015748031496E-2" right="0.31496062992125984" top="0.82677165354330717" bottom="0.62992125984251968" header="0.31496062992125984" footer="0.19685039370078741"/>
  <pageSetup paperSize="9" orientation="portrait" r:id="rId1"/>
  <headerFooter>
    <oddHeader>&amp;L&amp;G</oddHeader>
    <oddFooter>&amp;C&amp;"-,Bold"&amp;12&amp;KEE3124Got Questions About these Calculations? Call one of our team to discuss on 1800 54 54 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Ruler="0" topLeftCell="A16" zoomScaleNormal="100" workbookViewId="0">
      <selection activeCell="G41" sqref="G41"/>
    </sheetView>
  </sheetViews>
  <sheetFormatPr defaultRowHeight="15" x14ac:dyDescent="0.25"/>
  <cols>
    <col min="1" max="1" width="3.5703125" style="6" customWidth="1"/>
    <col min="2" max="2" width="38.7109375" style="6" customWidth="1"/>
    <col min="3" max="3" width="3.7109375" style="6" customWidth="1"/>
    <col min="4" max="4" width="9.5703125" style="16" hidden="1" customWidth="1"/>
    <col min="5" max="5" width="7.7109375" style="16" hidden="1" customWidth="1"/>
    <col min="6" max="6" width="12.42578125" style="16" hidden="1" customWidth="1"/>
    <col min="7" max="7" width="10.7109375" style="17" customWidth="1"/>
    <col min="8" max="8" width="3.7109375" style="14" customWidth="1"/>
    <col min="9" max="11" width="10.7109375" style="18" hidden="1" customWidth="1"/>
    <col min="12" max="12" width="10.7109375" style="17" customWidth="1"/>
    <col min="13" max="13" width="3.7109375" style="14" customWidth="1"/>
    <col min="14" max="14" width="9.42578125" style="19" hidden="1" customWidth="1"/>
    <col min="15" max="15" width="7.5703125" style="19" hidden="1" customWidth="1"/>
    <col min="16" max="16" width="9.42578125" style="19" hidden="1" customWidth="1"/>
    <col min="17" max="17" width="10.7109375" style="17" customWidth="1"/>
    <col min="18" max="18" width="9.140625" style="14"/>
    <col min="19" max="16384" width="9.140625" style="6"/>
  </cols>
  <sheetData>
    <row r="1" spans="1:18" ht="25.5" customHeight="1" x14ac:dyDescent="0.25">
      <c r="A1" s="132" t="s">
        <v>39</v>
      </c>
      <c r="B1" s="132"/>
      <c r="C1" s="132"/>
      <c r="D1" s="132"/>
      <c r="E1" s="132"/>
      <c r="F1" s="132"/>
      <c r="G1" s="132"/>
      <c r="H1" s="132"/>
      <c r="I1" s="132"/>
      <c r="J1" s="132"/>
      <c r="K1" s="132"/>
      <c r="L1" s="132"/>
      <c r="M1" s="132"/>
      <c r="N1" s="132"/>
      <c r="O1" s="132"/>
      <c r="P1" s="132"/>
      <c r="Q1" s="132"/>
    </row>
    <row r="2" spans="1:18" ht="15.75" thickBot="1" x14ac:dyDescent="0.3"/>
    <row r="3" spans="1:18" x14ac:dyDescent="0.25">
      <c r="D3" s="20"/>
      <c r="E3" s="20"/>
      <c r="F3" s="20"/>
      <c r="G3" s="41" t="s">
        <v>34</v>
      </c>
      <c r="H3" s="21"/>
      <c r="I3" s="22"/>
      <c r="J3" s="22"/>
      <c r="K3" s="22"/>
      <c r="L3" s="41" t="s">
        <v>34</v>
      </c>
      <c r="M3" s="21"/>
      <c r="N3" s="23"/>
      <c r="O3" s="23"/>
      <c r="P3" s="23"/>
      <c r="Q3" s="115" t="s">
        <v>89</v>
      </c>
    </row>
    <row r="4" spans="1:18" x14ac:dyDescent="0.25">
      <c r="D4" s="20"/>
      <c r="E4" s="20"/>
      <c r="F4" s="20"/>
      <c r="G4" s="42" t="s">
        <v>35</v>
      </c>
      <c r="H4" s="21"/>
      <c r="I4" s="22"/>
      <c r="J4" s="22"/>
      <c r="K4" s="22"/>
      <c r="L4" s="42" t="s">
        <v>36</v>
      </c>
      <c r="M4" s="21"/>
      <c r="N4" s="23"/>
      <c r="O4" s="23"/>
      <c r="P4" s="23"/>
      <c r="Q4" s="116" t="s">
        <v>90</v>
      </c>
    </row>
    <row r="5" spans="1:18" x14ac:dyDescent="0.25">
      <c r="D5" s="20"/>
      <c r="E5" s="20"/>
      <c r="F5" s="20"/>
      <c r="G5" s="43"/>
      <c r="I5" s="24"/>
      <c r="J5" s="24"/>
      <c r="K5" s="24"/>
      <c r="L5" s="43"/>
      <c r="N5" s="25"/>
      <c r="O5" s="25"/>
      <c r="P5" s="25"/>
      <c r="Q5" s="112"/>
    </row>
    <row r="6" spans="1:18" s="26" customFormat="1" x14ac:dyDescent="0.25">
      <c r="B6" s="26" t="s">
        <v>68</v>
      </c>
      <c r="D6" s="27"/>
      <c r="E6" s="27"/>
      <c r="F6" s="27"/>
      <c r="G6" s="42">
        <f>'Calculations - Enter your Pay'!D37</f>
        <v>96000</v>
      </c>
      <c r="H6" s="21"/>
      <c r="I6" s="22"/>
      <c r="J6" s="22"/>
      <c r="K6" s="22"/>
      <c r="L6" s="42">
        <f>'Calculations - Enter your Pay'!F37</f>
        <v>96000</v>
      </c>
      <c r="M6" s="21"/>
      <c r="N6" s="23"/>
      <c r="O6" s="23"/>
      <c r="P6" s="23"/>
      <c r="Q6" s="116"/>
      <c r="R6" s="21"/>
    </row>
    <row r="7" spans="1:18" x14ac:dyDescent="0.25">
      <c r="B7" s="6" t="s">
        <v>63</v>
      </c>
      <c r="D7" s="20"/>
      <c r="E7" s="20"/>
      <c r="F7" s="20"/>
      <c r="G7" s="43">
        <f>SUM('Calculations - Enter your Pay'!G21:H26)*12</f>
        <v>9180</v>
      </c>
      <c r="I7" s="24"/>
      <c r="J7" s="24"/>
      <c r="K7" s="24"/>
      <c r="L7" s="43">
        <f>('Calculations - Enter your Pay'!G21+'Calculations - Enter your Pay'!G22)*12</f>
        <v>2880</v>
      </c>
      <c r="M7" s="50">
        <v>1</v>
      </c>
      <c r="N7" s="28"/>
      <c r="O7" s="28"/>
      <c r="P7" s="28"/>
      <c r="Q7" s="112"/>
    </row>
    <row r="8" spans="1:18" x14ac:dyDescent="0.25">
      <c r="B8" s="6" t="s">
        <v>64</v>
      </c>
      <c r="D8" s="20"/>
      <c r="E8" s="20"/>
      <c r="F8" s="20"/>
      <c r="G8" s="43">
        <f>'Calculations - Enter your Pay'!G27*12</f>
        <v>7680</v>
      </c>
      <c r="I8" s="24"/>
      <c r="J8" s="24"/>
      <c r="K8" s="24"/>
      <c r="L8" s="43">
        <v>0</v>
      </c>
      <c r="M8" s="50">
        <v>2</v>
      </c>
      <c r="N8" s="28"/>
      <c r="O8" s="28"/>
      <c r="P8" s="28"/>
      <c r="Q8" s="112"/>
    </row>
    <row r="9" spans="1:18" x14ac:dyDescent="0.25">
      <c r="B9" s="6" t="s">
        <v>65</v>
      </c>
      <c r="D9" s="20"/>
      <c r="E9" s="20"/>
      <c r="F9" s="20"/>
      <c r="G9" s="44">
        <v>0</v>
      </c>
      <c r="H9" s="6"/>
      <c r="I9" s="20"/>
      <c r="J9" s="57" t="s">
        <v>50</v>
      </c>
      <c r="K9" s="58">
        <f>L6-L7-L8</f>
        <v>93120</v>
      </c>
      <c r="L9" s="44">
        <f>K12</f>
        <v>0</v>
      </c>
      <c r="M9" s="50">
        <v>3</v>
      </c>
      <c r="N9" s="28"/>
      <c r="O9" s="28"/>
      <c r="P9" s="28"/>
      <c r="Q9" s="112"/>
    </row>
    <row r="10" spans="1:18" x14ac:dyDescent="0.25">
      <c r="D10" s="20"/>
      <c r="E10" s="20"/>
      <c r="F10" s="20"/>
      <c r="G10" s="43"/>
      <c r="H10" s="6"/>
      <c r="I10" s="20"/>
      <c r="J10" s="59" t="s">
        <v>51</v>
      </c>
      <c r="K10" s="60">
        <f>IF('Calculations - Enter your Pay'!H9="Yes",0,IF(K9&gt;((376*52/12)*108.6%),10.85%,8.6%))</f>
        <v>0</v>
      </c>
      <c r="L10" s="43"/>
      <c r="N10" s="28"/>
      <c r="O10" s="28"/>
      <c r="P10" s="28"/>
      <c r="Q10" s="112"/>
    </row>
    <row r="11" spans="1:18" x14ac:dyDescent="0.25">
      <c r="D11" s="20"/>
      <c r="E11" s="20"/>
      <c r="F11" s="20"/>
      <c r="G11" s="43"/>
      <c r="I11" s="24"/>
      <c r="J11" s="59" t="s">
        <v>52</v>
      </c>
      <c r="K11" s="58">
        <f>K9/(100%+K10)</f>
        <v>93120</v>
      </c>
      <c r="L11" s="43"/>
      <c r="N11" s="25"/>
      <c r="O11" s="25"/>
      <c r="P11" s="25"/>
      <c r="Q11" s="112"/>
    </row>
    <row r="12" spans="1:18" x14ac:dyDescent="0.25">
      <c r="D12" s="20"/>
      <c r="E12" s="20"/>
      <c r="F12" s="20"/>
      <c r="G12" s="43"/>
      <c r="I12" s="24"/>
      <c r="J12" s="59" t="s">
        <v>53</v>
      </c>
      <c r="K12" s="58">
        <f>K11*K10</f>
        <v>0</v>
      </c>
      <c r="L12" s="43"/>
      <c r="N12" s="25"/>
      <c r="O12" s="25"/>
      <c r="P12" s="25"/>
      <c r="Q12" s="112"/>
    </row>
    <row r="13" spans="1:18" s="26" customFormat="1" x14ac:dyDescent="0.25">
      <c r="B13" s="26" t="s">
        <v>72</v>
      </c>
      <c r="D13" s="27"/>
      <c r="E13" s="27"/>
      <c r="F13" s="27"/>
      <c r="G13" s="42">
        <f>G6-G7-G8-G9</f>
        <v>79140</v>
      </c>
      <c r="I13" s="27"/>
      <c r="J13" s="27"/>
      <c r="K13" s="27"/>
      <c r="L13" s="42">
        <f>L6-L7-L8-L9</f>
        <v>93120</v>
      </c>
      <c r="M13" s="21"/>
      <c r="N13" s="22"/>
      <c r="O13" s="22"/>
      <c r="P13" s="22"/>
      <c r="Q13" s="116">
        <f>'Calculations - Enter your Pay'!H7</f>
        <v>84000</v>
      </c>
      <c r="R13" s="21"/>
    </row>
    <row r="14" spans="1:18" x14ac:dyDescent="0.25">
      <c r="D14" s="20"/>
      <c r="E14" s="20"/>
      <c r="F14" s="20"/>
      <c r="G14" s="43"/>
      <c r="I14" s="24"/>
      <c r="J14" s="24"/>
      <c r="K14" s="24"/>
      <c r="L14" s="43"/>
      <c r="N14" s="25"/>
      <c r="O14" s="25"/>
      <c r="P14" s="25"/>
      <c r="Q14" s="112"/>
    </row>
    <row r="15" spans="1:18" x14ac:dyDescent="0.25">
      <c r="B15" s="6" t="s">
        <v>40</v>
      </c>
      <c r="D15" s="24"/>
      <c r="E15" s="24">
        <f>'Calculations - Enter your Pay'!C7</f>
        <v>34550</v>
      </c>
      <c r="F15" s="29">
        <v>0.2</v>
      </c>
      <c r="G15" s="43">
        <f>E15*F15</f>
        <v>6910</v>
      </c>
      <c r="H15" s="17"/>
      <c r="I15" s="24"/>
      <c r="J15" s="24">
        <f>'Calculations - Enter your Pay'!C7</f>
        <v>34550</v>
      </c>
      <c r="K15" s="29">
        <v>0.2</v>
      </c>
      <c r="L15" s="43">
        <f>J15*K15</f>
        <v>6910</v>
      </c>
      <c r="M15" s="17"/>
      <c r="N15" s="25"/>
      <c r="O15" s="24">
        <f>'Calculations - Enter your Pay'!C7</f>
        <v>34550</v>
      </c>
      <c r="P15" s="29">
        <v>0.2</v>
      </c>
      <c r="Q15" s="112">
        <f>O15*P15</f>
        <v>6910</v>
      </c>
    </row>
    <row r="16" spans="1:18" x14ac:dyDescent="0.25">
      <c r="B16" s="6" t="s">
        <v>41</v>
      </c>
      <c r="D16" s="24"/>
      <c r="E16" s="24">
        <f>IF(G13&gt;E15,(G13-E15),0)</f>
        <v>44590</v>
      </c>
      <c r="F16" s="29">
        <v>0.4</v>
      </c>
      <c r="G16" s="44">
        <f>E16*F16</f>
        <v>17836</v>
      </c>
      <c r="H16" s="17"/>
      <c r="I16" s="24"/>
      <c r="J16" s="24">
        <f>IF(L13&gt;J15,(L13-J15),0)</f>
        <v>58570</v>
      </c>
      <c r="K16" s="29">
        <v>0.4</v>
      </c>
      <c r="L16" s="70">
        <f>J16*K16</f>
        <v>23428</v>
      </c>
      <c r="M16" s="30"/>
      <c r="N16" s="25"/>
      <c r="O16" s="24">
        <f>IF(Q13&gt;O15,(Q13-O15),0)</f>
        <v>49450</v>
      </c>
      <c r="P16" s="29">
        <v>0.4</v>
      </c>
      <c r="Q16" s="117">
        <f>O16*P16</f>
        <v>19780</v>
      </c>
    </row>
    <row r="17" spans="2:17" x14ac:dyDescent="0.25">
      <c r="B17" s="6" t="s">
        <v>60</v>
      </c>
      <c r="D17" s="20"/>
      <c r="E17" s="20"/>
      <c r="F17" s="20"/>
      <c r="G17" s="43">
        <f>G15+G16</f>
        <v>24746</v>
      </c>
      <c r="I17" s="24"/>
      <c r="J17" s="24"/>
      <c r="K17" s="24"/>
      <c r="L17" s="43">
        <f t="shared" ref="L17" si="0">L15+L16</f>
        <v>30338</v>
      </c>
      <c r="N17" s="24"/>
      <c r="O17" s="24"/>
      <c r="P17" s="24"/>
      <c r="Q17" s="112">
        <f>Q15+Q16</f>
        <v>26690</v>
      </c>
    </row>
    <row r="18" spans="2:17" x14ac:dyDescent="0.25">
      <c r="B18" s="49" t="s">
        <v>69</v>
      </c>
      <c r="D18" s="20"/>
      <c r="E18" s="20"/>
      <c r="F18" s="20"/>
      <c r="G18" s="43"/>
      <c r="I18" s="24"/>
      <c r="J18" s="24"/>
      <c r="K18" s="24"/>
      <c r="L18" s="43"/>
      <c r="N18" s="25"/>
      <c r="O18" s="25"/>
      <c r="P18" s="25"/>
      <c r="Q18" s="112"/>
    </row>
    <row r="19" spans="2:17" x14ac:dyDescent="0.25">
      <c r="B19" s="6" t="s">
        <v>42</v>
      </c>
      <c r="D19" s="20"/>
      <c r="E19" s="20"/>
      <c r="F19" s="20"/>
      <c r="G19" s="43">
        <v>0</v>
      </c>
      <c r="I19" s="24"/>
      <c r="J19" s="24"/>
      <c r="K19" s="24"/>
      <c r="L19" s="43">
        <f>'Calculations - Enter your Pay'!C8</f>
        <v>1650</v>
      </c>
      <c r="N19" s="25"/>
      <c r="O19" s="25"/>
      <c r="P19" s="25"/>
      <c r="Q19" s="112">
        <f>'Calculations - Enter your Pay'!C8</f>
        <v>1650</v>
      </c>
    </row>
    <row r="20" spans="2:17" x14ac:dyDescent="0.25">
      <c r="B20" s="6" t="s">
        <v>43</v>
      </c>
      <c r="D20" s="20"/>
      <c r="E20" s="20"/>
      <c r="F20" s="20"/>
      <c r="G20" s="43">
        <f>'Tax Credit Info'!H6</f>
        <v>1150</v>
      </c>
      <c r="I20" s="24"/>
      <c r="J20" s="24"/>
      <c r="K20" s="24"/>
      <c r="L20" s="43">
        <v>0</v>
      </c>
      <c r="N20" s="25"/>
      <c r="O20" s="25"/>
      <c r="P20" s="25"/>
      <c r="Q20" s="112">
        <v>0</v>
      </c>
    </row>
    <row r="21" spans="2:17" x14ac:dyDescent="0.25">
      <c r="B21" s="6" t="s">
        <v>44</v>
      </c>
      <c r="D21" s="20"/>
      <c r="E21" s="20"/>
      <c r="F21" s="20"/>
      <c r="G21" s="44">
        <f>'Calculations - Enter your Pay'!C9</f>
        <v>1650</v>
      </c>
      <c r="H21" s="31"/>
      <c r="I21" s="32"/>
      <c r="J21" s="32"/>
      <c r="K21" s="32"/>
      <c r="L21" s="44">
        <f>'Calculations - Enter your Pay'!C9</f>
        <v>1650</v>
      </c>
      <c r="M21" s="31"/>
      <c r="N21" s="25"/>
      <c r="O21" s="25"/>
      <c r="P21" s="25"/>
      <c r="Q21" s="117">
        <f>'Calculations - Enter your Pay'!C9</f>
        <v>1650</v>
      </c>
    </row>
    <row r="22" spans="2:17" x14ac:dyDescent="0.25">
      <c r="D22" s="20"/>
      <c r="E22" s="20"/>
      <c r="F22" s="20"/>
      <c r="G22" s="43"/>
      <c r="I22" s="24"/>
      <c r="J22" s="24"/>
      <c r="K22" s="24"/>
      <c r="L22" s="43"/>
      <c r="N22" s="25"/>
      <c r="O22" s="25"/>
      <c r="P22" s="25"/>
      <c r="Q22" s="112"/>
    </row>
    <row r="23" spans="2:17" x14ac:dyDescent="0.25">
      <c r="B23" s="6" t="s">
        <v>61</v>
      </c>
      <c r="D23" s="20"/>
      <c r="E23" s="20"/>
      <c r="F23" s="20"/>
      <c r="G23" s="43">
        <f>IF(SUM(G19:G21)&gt;G17,0,G17-G19-G20-G21)</f>
        <v>21946</v>
      </c>
      <c r="I23" s="24"/>
      <c r="J23" s="24"/>
      <c r="K23" s="24"/>
      <c r="L23" s="43">
        <f>IF(SUM(L19:L21)&gt;L17,0,L17-L19-L20-L21)</f>
        <v>27038</v>
      </c>
      <c r="N23" s="24"/>
      <c r="O23" s="24"/>
      <c r="P23" s="24"/>
      <c r="Q23" s="112">
        <f>IF(SUM(Q19:Q21)&gt;Q17,0,Q17-Q19-Q20-Q21)</f>
        <v>23390</v>
      </c>
    </row>
    <row r="24" spans="2:17" hidden="1" x14ac:dyDescent="0.25">
      <c r="D24" s="20"/>
      <c r="E24" s="20"/>
      <c r="F24" s="20"/>
      <c r="G24" s="43"/>
      <c r="I24" s="24"/>
      <c r="J24" s="24"/>
      <c r="K24" s="24"/>
      <c r="L24" s="43"/>
      <c r="N24" s="24"/>
      <c r="O24" s="24"/>
      <c r="P24" s="24"/>
      <c r="Q24" s="112"/>
    </row>
    <row r="25" spans="2:17" x14ac:dyDescent="0.25">
      <c r="B25" s="6" t="s">
        <v>49</v>
      </c>
      <c r="D25" s="20"/>
      <c r="E25" s="20"/>
      <c r="F25" s="20"/>
      <c r="G25" s="43">
        <f>G13*4%</f>
        <v>3165.6</v>
      </c>
      <c r="H25" s="17"/>
      <c r="I25" s="24"/>
      <c r="J25" s="24"/>
      <c r="K25" s="61">
        <f>J26+J27</f>
        <v>0</v>
      </c>
      <c r="L25" s="43">
        <f>K25</f>
        <v>0</v>
      </c>
      <c r="M25" s="50">
        <v>4</v>
      </c>
      <c r="N25" s="28"/>
      <c r="O25" s="24"/>
      <c r="P25" s="61">
        <f>O27+O26</f>
        <v>0</v>
      </c>
      <c r="Q25" s="112">
        <f>P25</f>
        <v>0</v>
      </c>
    </row>
    <row r="26" spans="2:17" hidden="1" x14ac:dyDescent="0.25">
      <c r="D26" s="20"/>
      <c r="E26" s="20"/>
      <c r="F26" s="20"/>
      <c r="G26" s="43"/>
      <c r="H26" s="17"/>
      <c r="I26" s="24"/>
      <c r="J26" s="24">
        <f>IF('Calculations - Enter your Pay'!H9="YES",0,IF(L13&lt;352*52,0,L13*4%))</f>
        <v>0</v>
      </c>
      <c r="K26" s="61"/>
      <c r="L26" s="43"/>
      <c r="M26" s="50"/>
      <c r="N26" s="28"/>
      <c r="O26" s="24">
        <f>IF('Calculations - Enter your Pay'!H9="YES",0,IF(Q13&lt;352*52,0,Q13*4%))</f>
        <v>0</v>
      </c>
      <c r="P26" s="61"/>
      <c r="Q26" s="112"/>
    </row>
    <row r="27" spans="2:17" hidden="1" x14ac:dyDescent="0.25">
      <c r="D27" s="20"/>
      <c r="E27" s="20"/>
      <c r="F27" s="20"/>
      <c r="G27" s="43"/>
      <c r="H27" s="17"/>
      <c r="I27" s="24"/>
      <c r="J27" s="24">
        <f>-IF(L13/52&gt;424,0,IF(L13/52&lt;352,0,IF(L13/52&gt;352,((12*52)-((L13-(352*52))/6)),0)))</f>
        <v>0</v>
      </c>
      <c r="K27" s="61"/>
      <c r="L27" s="43"/>
      <c r="M27" s="50"/>
      <c r="N27" s="28"/>
      <c r="O27" s="24">
        <f>-IF(Q13/52&gt;424,0,IF(Q13/52&lt;352,0,IF(Q13/52&gt;352,((12*52)-((Q13-(352*52))/6)),0)))</f>
        <v>0</v>
      </c>
      <c r="P27" s="61"/>
      <c r="Q27" s="112"/>
    </row>
    <row r="28" spans="2:17" hidden="1" x14ac:dyDescent="0.25">
      <c r="D28" s="20"/>
      <c r="E28" s="20"/>
      <c r="F28" s="20"/>
      <c r="G28" s="43"/>
      <c r="H28" s="17"/>
      <c r="I28" s="24"/>
      <c r="J28" s="24"/>
      <c r="K28" s="61"/>
      <c r="L28" s="43"/>
      <c r="M28" s="17"/>
      <c r="N28" s="28"/>
      <c r="O28" s="28"/>
      <c r="P28" s="28"/>
      <c r="Q28" s="112"/>
    </row>
    <row r="29" spans="2:17" x14ac:dyDescent="0.25">
      <c r="B29" s="6" t="s">
        <v>45</v>
      </c>
      <c r="D29" s="20"/>
      <c r="E29" s="20"/>
      <c r="F29" s="124">
        <f>IF(G13&lt;D31,0,IF(G13&gt;(D31+D32+D33),(G13-D33-D32-D31)*E34+(F31+F32+F33),(IF(G13&gt;(D31+D32),(G13-D32-D31)*E33+(F31+F32),IF(G13&gt;D31,(G13-D31)*E32+(F31),G13*E31)))))</f>
        <v>3341.8600000000006</v>
      </c>
      <c r="G29" s="44">
        <f>IF('Calculations - Enter your Pay'!$H$8="YES",F35,F29)</f>
        <v>3341.8600000000006</v>
      </c>
      <c r="H29" s="17"/>
      <c r="I29" s="24"/>
      <c r="J29" s="24"/>
      <c r="K29" s="124">
        <f>IF(L13&lt;I31,0,IF(L13&gt;(I31+I32+I33),(L13-I33-I32-I31)*J34+(K31+K32+K33),(IF(L13&gt;(I31+I32),(L13-I32-I31)*J33+(K31+K32),IF(L13&gt;I31,(L13-I31)*J32+(K31),L13*J31)))))</f>
        <v>4460.26</v>
      </c>
      <c r="L29" s="44">
        <f>IF('Calculations - Enter your Pay'!$H$8="YES",K35,K29)</f>
        <v>4460.26</v>
      </c>
      <c r="M29" s="17"/>
      <c r="N29" s="28"/>
      <c r="O29" s="28"/>
      <c r="P29" s="124">
        <f>IF(Q13&lt;N31,0,IF(Q13&gt;(N31+N32+N33),(Q13-N33-N32-N31)*O34+(P31+P32+P33),(IF(Q13&gt;(N31+N32),(Q13-N32-N31)*O33+(P31+P32),IF(Q13&gt;N31,(Q13-N31)*O32+(P31),Q13*O31)))))</f>
        <v>3730.6600000000003</v>
      </c>
      <c r="Q29" s="117">
        <f>IF('Calculations - Enter your Pay'!$H$8="YES",P35,P29)</f>
        <v>3730.6600000000003</v>
      </c>
    </row>
    <row r="30" spans="2:17" hidden="1" x14ac:dyDescent="0.25">
      <c r="D30" s="62">
        <v>0</v>
      </c>
      <c r="E30" s="63">
        <v>0</v>
      </c>
      <c r="F30" s="62">
        <f>D30*E30</f>
        <v>0</v>
      </c>
      <c r="G30" s="44"/>
      <c r="H30" s="33"/>
      <c r="I30" s="62">
        <v>0</v>
      </c>
      <c r="J30" s="63">
        <v>0</v>
      </c>
      <c r="K30" s="62">
        <f>I30*J30</f>
        <v>0</v>
      </c>
      <c r="L30" s="44"/>
      <c r="M30" s="50">
        <v>4</v>
      </c>
      <c r="N30" s="62">
        <v>0</v>
      </c>
      <c r="O30" s="63">
        <v>0</v>
      </c>
      <c r="P30" s="62">
        <f>N30*O30</f>
        <v>0</v>
      </c>
      <c r="Q30" s="117"/>
    </row>
    <row r="31" spans="2:17" hidden="1" x14ac:dyDescent="0.25">
      <c r="D31" s="62">
        <f>12012</f>
        <v>12012</v>
      </c>
      <c r="E31" s="63">
        <v>5.0000000000000001E-3</v>
      </c>
      <c r="F31" s="62">
        <f>D31*E31</f>
        <v>60.06</v>
      </c>
      <c r="G31" s="45"/>
      <c r="H31" s="33"/>
      <c r="I31" s="62">
        <f>12012</f>
        <v>12012</v>
      </c>
      <c r="J31" s="63">
        <v>5.0000000000000001E-3</v>
      </c>
      <c r="K31" s="62">
        <f>I31*J31</f>
        <v>60.06</v>
      </c>
      <c r="L31" s="45"/>
      <c r="M31" s="33"/>
      <c r="N31" s="62">
        <f>12012</f>
        <v>12012</v>
      </c>
      <c r="O31" s="63">
        <v>5.0000000000000001E-3</v>
      </c>
      <c r="P31" s="62">
        <f>N31*O31</f>
        <v>60.06</v>
      </c>
      <c r="Q31" s="118"/>
    </row>
    <row r="32" spans="2:17" hidden="1" x14ac:dyDescent="0.25">
      <c r="D32" s="62">
        <f>(19372-12012)</f>
        <v>7360</v>
      </c>
      <c r="E32" s="63">
        <v>0.02</v>
      </c>
      <c r="F32" s="62">
        <f>D32*E32</f>
        <v>147.20000000000002</v>
      </c>
      <c r="G32" s="45"/>
      <c r="H32" s="33"/>
      <c r="I32" s="62">
        <f>(19372-12012)</f>
        <v>7360</v>
      </c>
      <c r="J32" s="63">
        <v>0.02</v>
      </c>
      <c r="K32" s="62">
        <f>I32*J32</f>
        <v>147.20000000000002</v>
      </c>
      <c r="L32" s="45"/>
      <c r="M32" s="33"/>
      <c r="N32" s="62">
        <f>(19372-12012)</f>
        <v>7360</v>
      </c>
      <c r="O32" s="63">
        <v>0.02</v>
      </c>
      <c r="P32" s="62">
        <f>N32*O32</f>
        <v>147.20000000000002</v>
      </c>
      <c r="Q32" s="118"/>
    </row>
    <row r="33" spans="2:18" hidden="1" x14ac:dyDescent="0.25">
      <c r="D33" s="62">
        <f>(70044-19372)</f>
        <v>50672</v>
      </c>
      <c r="E33" s="63">
        <v>4.7500000000000001E-2</v>
      </c>
      <c r="F33" s="62">
        <f>D33*E33</f>
        <v>2406.92</v>
      </c>
      <c r="G33" s="45"/>
      <c r="H33" s="33"/>
      <c r="I33" s="62">
        <f>(70044-19372)</f>
        <v>50672</v>
      </c>
      <c r="J33" s="63">
        <v>4.7500000000000001E-2</v>
      </c>
      <c r="K33" s="62">
        <f>I33*J33</f>
        <v>2406.92</v>
      </c>
      <c r="L33" s="45"/>
      <c r="M33" s="33"/>
      <c r="N33" s="62">
        <f>(70044-19372)</f>
        <v>50672</v>
      </c>
      <c r="O33" s="63">
        <v>4.7500000000000001E-2</v>
      </c>
      <c r="P33" s="62">
        <f>N33*O33</f>
        <v>2406.92</v>
      </c>
      <c r="Q33" s="118"/>
    </row>
    <row r="34" spans="2:18" hidden="1" x14ac:dyDescent="0.25">
      <c r="D34" s="64" t="s">
        <v>54</v>
      </c>
      <c r="E34" s="63">
        <v>0.08</v>
      </c>
      <c r="F34" s="62"/>
      <c r="G34" s="45"/>
      <c r="H34" s="33"/>
      <c r="I34" s="64" t="s">
        <v>54</v>
      </c>
      <c r="J34" s="63">
        <v>0.08</v>
      </c>
      <c r="K34" s="62"/>
      <c r="L34" s="45"/>
      <c r="M34" s="33"/>
      <c r="N34" s="64" t="s">
        <v>54</v>
      </c>
      <c r="O34" s="63">
        <v>0.08</v>
      </c>
      <c r="P34" s="62"/>
      <c r="Q34" s="118"/>
    </row>
    <row r="35" spans="2:18" hidden="1" x14ac:dyDescent="0.25">
      <c r="D35" s="64"/>
      <c r="E35" s="63"/>
      <c r="F35" s="62">
        <f>IF(G13&gt;60000,F29,IF(G13&gt;D36,((G13-D36)*E37)+F36,0))</f>
        <v>3341.8600000000006</v>
      </c>
      <c r="G35" s="45"/>
      <c r="H35" s="33"/>
      <c r="I35" s="64"/>
      <c r="J35" s="63"/>
      <c r="K35" s="62">
        <f>IF(L13&gt;60000,K29,IF(L13&gt;I36,((L13-I36)*J37)+K36,0))</f>
        <v>4460.26</v>
      </c>
      <c r="L35" s="45"/>
      <c r="M35" s="33"/>
      <c r="N35" s="64"/>
      <c r="O35" s="63"/>
      <c r="P35" s="62">
        <f>IF(Q13&gt;60000,P29,IF(Q13&gt;N36,((Q13-N36)*O37)+P36,0))</f>
        <v>3730.6600000000003</v>
      </c>
      <c r="Q35" s="118"/>
    </row>
    <row r="36" spans="2:18" hidden="1" x14ac:dyDescent="0.25">
      <c r="D36" s="62">
        <v>12012</v>
      </c>
      <c r="E36" s="63">
        <v>5.0000000000000001E-3</v>
      </c>
      <c r="F36" s="62">
        <f>D36*E36</f>
        <v>60.06</v>
      </c>
      <c r="G36" s="45"/>
      <c r="H36" s="33"/>
      <c r="I36" s="62">
        <v>12012</v>
      </c>
      <c r="J36" s="63">
        <v>5.0000000000000001E-3</v>
      </c>
      <c r="K36" s="62">
        <f>I36*J36</f>
        <v>60.06</v>
      </c>
      <c r="L36" s="45"/>
      <c r="M36" s="33"/>
      <c r="N36" s="62">
        <v>12012</v>
      </c>
      <c r="O36" s="63">
        <v>5.0000000000000001E-3</v>
      </c>
      <c r="P36" s="62">
        <f>N36*O36</f>
        <v>60.06</v>
      </c>
      <c r="Q36" s="118"/>
    </row>
    <row r="37" spans="2:18" hidden="1" x14ac:dyDescent="0.25">
      <c r="D37" s="64" t="s">
        <v>54</v>
      </c>
      <c r="E37" s="63">
        <v>0.02</v>
      </c>
      <c r="F37" s="62"/>
      <c r="G37" s="45"/>
      <c r="H37" s="33"/>
      <c r="I37" s="64" t="s">
        <v>54</v>
      </c>
      <c r="J37" s="63">
        <v>0.02</v>
      </c>
      <c r="K37" s="62"/>
      <c r="L37" s="45"/>
      <c r="M37" s="33"/>
      <c r="N37" s="64" t="s">
        <v>54</v>
      </c>
      <c r="O37" s="63">
        <v>0.02</v>
      </c>
      <c r="P37" s="62"/>
      <c r="Q37" s="118"/>
    </row>
    <row r="38" spans="2:18" hidden="1" x14ac:dyDescent="0.25">
      <c r="D38" s="64"/>
      <c r="E38" s="63"/>
      <c r="F38" s="62"/>
      <c r="G38" s="45"/>
      <c r="H38" s="33"/>
      <c r="I38" s="64"/>
      <c r="J38" s="63"/>
      <c r="K38" s="62"/>
      <c r="L38" s="45"/>
      <c r="M38" s="33"/>
      <c r="N38" s="64"/>
      <c r="O38" s="63"/>
      <c r="P38" s="62"/>
      <c r="Q38" s="118"/>
    </row>
    <row r="39" spans="2:18" hidden="1" x14ac:dyDescent="0.25">
      <c r="D39" s="64"/>
      <c r="E39" s="63"/>
      <c r="F39" s="62"/>
      <c r="G39" s="45"/>
      <c r="H39" s="33"/>
      <c r="I39" s="64"/>
      <c r="J39" s="63"/>
      <c r="K39" s="62"/>
      <c r="L39" s="45"/>
      <c r="M39" s="33"/>
      <c r="N39" s="64"/>
      <c r="O39" s="63"/>
      <c r="P39" s="62"/>
      <c r="Q39" s="118"/>
    </row>
    <row r="40" spans="2:18" ht="6.75" customHeight="1" x14ac:dyDescent="0.25">
      <c r="D40" s="20"/>
      <c r="E40" s="20"/>
      <c r="F40" s="20"/>
      <c r="G40" s="45"/>
      <c r="H40" s="33"/>
      <c r="I40" s="32"/>
      <c r="J40" s="32"/>
      <c r="K40" s="32"/>
      <c r="L40" s="45"/>
      <c r="M40" s="33"/>
      <c r="N40" s="25"/>
      <c r="O40" s="25"/>
      <c r="P40" s="25"/>
      <c r="Q40" s="118"/>
    </row>
    <row r="41" spans="2:18" s="26" customFormat="1" ht="15.75" thickBot="1" x14ac:dyDescent="0.3">
      <c r="B41" s="26" t="s">
        <v>67</v>
      </c>
      <c r="D41" s="27"/>
      <c r="E41" s="27"/>
      <c r="F41" s="27"/>
      <c r="G41" s="46">
        <f>SUM(G23:G30)</f>
        <v>28453.46</v>
      </c>
      <c r="H41" s="21"/>
      <c r="I41" s="22"/>
      <c r="J41" s="22"/>
      <c r="K41" s="22"/>
      <c r="L41" s="46">
        <f>SUM(L23:L30)</f>
        <v>31498.260000000002</v>
      </c>
      <c r="M41" s="21"/>
      <c r="N41" s="22"/>
      <c r="O41" s="22"/>
      <c r="P41" s="22"/>
      <c r="Q41" s="119">
        <f>SUM(Q23:Q30)</f>
        <v>27120.66</v>
      </c>
      <c r="R41" s="21"/>
    </row>
    <row r="42" spans="2:18" ht="15.75" thickTop="1" x14ac:dyDescent="0.25">
      <c r="D42" s="20"/>
      <c r="E42" s="20"/>
      <c r="F42" s="20"/>
      <c r="G42" s="43"/>
      <c r="I42" s="24"/>
      <c r="J42" s="24"/>
      <c r="K42" s="24"/>
      <c r="L42" s="43"/>
      <c r="N42" s="25"/>
      <c r="O42" s="25"/>
      <c r="P42" s="25"/>
      <c r="Q42" s="112"/>
    </row>
    <row r="43" spans="2:18" x14ac:dyDescent="0.25">
      <c r="B43" s="6" t="s">
        <v>46</v>
      </c>
      <c r="D43" s="20"/>
      <c r="E43" s="20"/>
      <c r="F43" s="20"/>
      <c r="G43" s="43">
        <f>G13-G41</f>
        <v>50686.54</v>
      </c>
      <c r="H43" s="17"/>
      <c r="I43" s="24"/>
      <c r="J43" s="24"/>
      <c r="K43" s="24"/>
      <c r="L43" s="43">
        <f>L13-L41</f>
        <v>61621.74</v>
      </c>
      <c r="M43" s="17"/>
      <c r="N43" s="25"/>
      <c r="O43" s="25"/>
      <c r="P43" s="25"/>
      <c r="Q43" s="112">
        <f>Q13-Q41</f>
        <v>56879.34</v>
      </c>
    </row>
    <row r="44" spans="2:18" x14ac:dyDescent="0.25">
      <c r="D44" s="20"/>
      <c r="E44" s="20"/>
      <c r="F44" s="20"/>
      <c r="G44" s="43"/>
      <c r="H44" s="17"/>
      <c r="I44" s="24"/>
      <c r="J44" s="24"/>
      <c r="K44" s="24"/>
      <c r="L44" s="43"/>
      <c r="M44" s="17"/>
      <c r="N44" s="25"/>
      <c r="O44" s="25"/>
      <c r="P44" s="25"/>
      <c r="Q44" s="112"/>
    </row>
    <row r="45" spans="2:18" x14ac:dyDescent="0.25">
      <c r="B45" s="6" t="s">
        <v>55</v>
      </c>
      <c r="D45" s="20"/>
      <c r="E45" s="20"/>
      <c r="F45" s="20"/>
      <c r="G45" s="43">
        <f>G7</f>
        <v>9180</v>
      </c>
      <c r="H45" s="17"/>
      <c r="I45" s="24"/>
      <c r="J45" s="24"/>
      <c r="K45" s="24"/>
      <c r="L45" s="43">
        <f>L7</f>
        <v>2880</v>
      </c>
      <c r="M45" s="17"/>
      <c r="N45" s="28"/>
      <c r="O45" s="28"/>
      <c r="P45" s="28"/>
      <c r="Q45" s="112">
        <f>Q7</f>
        <v>0</v>
      </c>
    </row>
    <row r="46" spans="2:18" x14ac:dyDescent="0.25">
      <c r="D46" s="20"/>
      <c r="E46" s="20"/>
      <c r="F46" s="20"/>
      <c r="G46" s="43"/>
      <c r="H46" s="17"/>
      <c r="I46" s="24"/>
      <c r="J46" s="24"/>
      <c r="K46" s="24"/>
      <c r="L46" s="43"/>
      <c r="M46" s="17"/>
      <c r="N46" s="28"/>
      <c r="O46" s="28"/>
      <c r="P46" s="28"/>
      <c r="Q46" s="112"/>
    </row>
    <row r="47" spans="2:18" s="34" customFormat="1" ht="18.75" x14ac:dyDescent="0.3">
      <c r="B47" s="34" t="s">
        <v>47</v>
      </c>
      <c r="D47" s="35"/>
      <c r="E47" s="35"/>
      <c r="F47" s="35"/>
      <c r="G47" s="47">
        <f>G43+G45</f>
        <v>59866.54</v>
      </c>
      <c r="H47" s="36"/>
      <c r="I47" s="37"/>
      <c r="J47" s="37"/>
      <c r="K47" s="37"/>
      <c r="L47" s="47">
        <f t="shared" ref="L47:Q47" si="1">L43+L45</f>
        <v>64501.74</v>
      </c>
      <c r="M47" s="36"/>
      <c r="N47" s="37"/>
      <c r="O47" s="37"/>
      <c r="P47" s="37"/>
      <c r="Q47" s="120">
        <f t="shared" si="1"/>
        <v>56879.34</v>
      </c>
      <c r="R47" s="38"/>
    </row>
    <row r="48" spans="2:18" s="34" customFormat="1" ht="18.75" x14ac:dyDescent="0.3">
      <c r="D48" s="35"/>
      <c r="E48" s="35"/>
      <c r="F48" s="35"/>
      <c r="G48" s="47"/>
      <c r="H48" s="36"/>
      <c r="I48" s="37"/>
      <c r="J48" s="37"/>
      <c r="K48" s="37"/>
      <c r="L48" s="47"/>
      <c r="M48" s="36"/>
      <c r="N48" s="37"/>
      <c r="O48" s="37"/>
      <c r="P48" s="37"/>
      <c r="Q48" s="120"/>
      <c r="R48" s="38"/>
    </row>
    <row r="49" spans="2:18" s="34" customFormat="1" ht="18.75" x14ac:dyDescent="0.3">
      <c r="B49" s="39" t="s">
        <v>62</v>
      </c>
      <c r="D49" s="35"/>
      <c r="E49" s="35"/>
      <c r="F49" s="35"/>
      <c r="G49" s="69">
        <f>G47+G8</f>
        <v>67546.540000000008</v>
      </c>
      <c r="H49" s="36"/>
      <c r="I49" s="37"/>
      <c r="J49" s="37"/>
      <c r="K49" s="37"/>
      <c r="L49" s="69">
        <f>L47+L8</f>
        <v>64501.74</v>
      </c>
      <c r="M49" s="36"/>
      <c r="N49" s="37"/>
      <c r="O49" s="37"/>
      <c r="P49" s="37"/>
      <c r="Q49" s="111">
        <f>Q47</f>
        <v>56879.34</v>
      </c>
      <c r="R49" s="38"/>
    </row>
    <row r="50" spans="2:18" x14ac:dyDescent="0.25">
      <c r="D50" s="20"/>
      <c r="E50" s="20"/>
      <c r="F50" s="20"/>
      <c r="G50" s="43"/>
      <c r="I50" s="24"/>
      <c r="J50" s="24"/>
      <c r="K50" s="24"/>
      <c r="L50" s="43"/>
      <c r="N50" s="25"/>
      <c r="O50" s="25"/>
      <c r="P50" s="25"/>
      <c r="Q50" s="112"/>
    </row>
    <row r="51" spans="2:18" x14ac:dyDescent="0.25">
      <c r="B51" s="101" t="s">
        <v>56</v>
      </c>
      <c r="C51" s="26"/>
      <c r="D51" s="27"/>
      <c r="E51" s="27"/>
      <c r="F51" s="27"/>
      <c r="G51" s="102">
        <f>G49/G6</f>
        <v>0.70360979166666671</v>
      </c>
      <c r="H51" s="103"/>
      <c r="I51" s="104"/>
      <c r="J51" s="104"/>
      <c r="K51" s="104"/>
      <c r="L51" s="102">
        <f>L49/L6</f>
        <v>0.67189312499999998</v>
      </c>
      <c r="M51" s="103"/>
      <c r="N51" s="104"/>
      <c r="O51" s="104"/>
      <c r="P51" s="104"/>
      <c r="Q51" s="113">
        <f>Q49/Q13</f>
        <v>0.67713499999999993</v>
      </c>
    </row>
    <row r="52" spans="2:18" ht="15.75" thickBot="1" x14ac:dyDescent="0.3">
      <c r="D52" s="20"/>
      <c r="E52" s="20"/>
      <c r="F52" s="20"/>
      <c r="G52" s="48"/>
      <c r="I52" s="24"/>
      <c r="J52" s="24"/>
      <c r="K52" s="24"/>
      <c r="L52" s="48"/>
      <c r="N52" s="25"/>
      <c r="O52" s="25"/>
      <c r="P52" s="25"/>
      <c r="Q52" s="114"/>
    </row>
    <row r="53" spans="2:18" x14ac:dyDescent="0.25">
      <c r="B53" s="40"/>
    </row>
    <row r="54" spans="2:18" x14ac:dyDescent="0.25">
      <c r="B54" s="26" t="s">
        <v>70</v>
      </c>
    </row>
    <row r="55" spans="2:18" ht="30.75" customHeight="1" x14ac:dyDescent="0.25">
      <c r="B55" s="133" t="s">
        <v>73</v>
      </c>
      <c r="C55" s="133"/>
      <c r="D55" s="133"/>
      <c r="E55" s="133"/>
      <c r="F55" s="133"/>
      <c r="G55" s="133"/>
      <c r="H55" s="133"/>
      <c r="I55" s="133"/>
      <c r="J55" s="133"/>
      <c r="K55" s="133"/>
      <c r="L55" s="133"/>
      <c r="M55" s="133"/>
      <c r="N55" s="133"/>
      <c r="O55" s="133"/>
      <c r="P55" s="133"/>
      <c r="Q55" s="133"/>
    </row>
    <row r="56" spans="2:18" ht="18" customHeight="1" x14ac:dyDescent="0.25">
      <c r="B56" s="51" t="s">
        <v>74</v>
      </c>
    </row>
    <row r="57" spans="2:18" ht="59.25" customHeight="1" x14ac:dyDescent="0.25">
      <c r="B57" s="133" t="s">
        <v>75</v>
      </c>
      <c r="C57" s="133"/>
      <c r="D57" s="133"/>
      <c r="E57" s="133"/>
      <c r="F57" s="133"/>
      <c r="G57" s="133"/>
      <c r="H57" s="133"/>
      <c r="I57" s="133"/>
      <c r="J57" s="133"/>
      <c r="K57" s="133"/>
      <c r="L57" s="133"/>
      <c r="M57" s="133"/>
      <c r="N57" s="133"/>
      <c r="O57" s="133"/>
      <c r="P57" s="133"/>
      <c r="Q57" s="133"/>
    </row>
    <row r="58" spans="2:18" ht="30.75" customHeight="1" x14ac:dyDescent="0.25">
      <c r="B58" s="133" t="s">
        <v>76</v>
      </c>
      <c r="C58" s="134"/>
      <c r="D58" s="134"/>
      <c r="E58" s="134"/>
      <c r="F58" s="134"/>
      <c r="G58" s="134"/>
      <c r="H58" s="134"/>
      <c r="I58" s="134"/>
      <c r="J58" s="134"/>
      <c r="K58" s="134"/>
      <c r="L58" s="134"/>
      <c r="M58" s="134"/>
      <c r="N58" s="134"/>
      <c r="O58" s="134"/>
      <c r="P58" s="134"/>
      <c r="Q58" s="134"/>
    </row>
  </sheetData>
  <sheetProtection selectLockedCells="1"/>
  <mergeCells count="4">
    <mergeCell ref="A1:Q1"/>
    <mergeCell ref="B55:Q55"/>
    <mergeCell ref="B57:Q57"/>
    <mergeCell ref="B58:Q58"/>
  </mergeCells>
  <pageMargins left="0.7" right="0.7" top="0.8125" bottom="0.75" header="0.3" footer="0.3"/>
  <pageSetup paperSize="9" orientation="portrait" r:id="rId1"/>
  <headerFooter>
    <oddHeader>&amp;L&amp;G</oddHeader>
    <oddFooter>&amp;C&amp;"-,Bold"&amp;12&amp;KEE3124Got Questions About these Calculations? Call one of our team to discuss on 1800 54 54 22.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showRowColHeaders="0" view="pageLayout" zoomScaleNormal="100" zoomScaleSheetLayoutView="130" workbookViewId="0">
      <selection activeCell="A2" sqref="A2:H2"/>
    </sheetView>
  </sheetViews>
  <sheetFormatPr defaultRowHeight="15" x14ac:dyDescent="0.25"/>
  <cols>
    <col min="1" max="1" width="30" style="1" customWidth="1"/>
    <col min="2" max="2" width="24.140625" style="1" customWidth="1"/>
    <col min="3" max="3" width="4.42578125" style="1" customWidth="1"/>
    <col min="4" max="4" width="18.42578125" style="1" customWidth="1"/>
    <col min="5" max="5" width="12.28515625" style="52" customWidth="1"/>
    <col min="6" max="6" width="5.7109375" style="1" customWidth="1"/>
    <col min="7" max="7" width="18.42578125" style="1" customWidth="1"/>
    <col min="8" max="8" width="12.28515625" style="1" customWidth="1"/>
    <col min="9" max="16384" width="9.140625" style="1"/>
  </cols>
  <sheetData>
    <row r="1" spans="1:8" x14ac:dyDescent="0.25">
      <c r="A1" s="6"/>
      <c r="B1" s="6"/>
      <c r="C1" s="6"/>
      <c r="D1" s="6"/>
      <c r="E1" s="71"/>
      <c r="F1" s="6"/>
      <c r="G1" s="6"/>
      <c r="H1" s="6"/>
    </row>
    <row r="2" spans="1:8" s="54" customFormat="1" ht="21" x14ac:dyDescent="0.35">
      <c r="A2" s="138" t="s">
        <v>3</v>
      </c>
      <c r="B2" s="138"/>
      <c r="C2" s="138"/>
      <c r="D2" s="138"/>
      <c r="E2" s="138"/>
      <c r="F2" s="138"/>
      <c r="G2" s="138"/>
      <c r="H2" s="138"/>
    </row>
    <row r="3" spans="1:8" ht="15.75" thickBot="1" x14ac:dyDescent="0.3">
      <c r="A3" s="6"/>
      <c r="B3" s="6"/>
      <c r="C3" s="6"/>
      <c r="D3" s="6"/>
      <c r="E3" s="71"/>
      <c r="F3" s="6"/>
      <c r="G3" s="6"/>
      <c r="H3" s="6"/>
    </row>
    <row r="4" spans="1:8" s="53" customFormat="1" ht="15.75" x14ac:dyDescent="0.25">
      <c r="A4" s="72" t="s">
        <v>8</v>
      </c>
      <c r="B4" s="73" t="s">
        <v>13</v>
      </c>
      <c r="C4" s="74"/>
      <c r="D4" s="75" t="s">
        <v>14</v>
      </c>
      <c r="E4" s="76"/>
      <c r="F4" s="77"/>
      <c r="G4" s="77"/>
      <c r="H4" s="78"/>
    </row>
    <row r="5" spans="1:8" x14ac:dyDescent="0.25">
      <c r="A5" s="79"/>
      <c r="B5" s="80"/>
      <c r="C5" s="6"/>
      <c r="D5" s="81"/>
      <c r="E5" s="82"/>
      <c r="F5" s="83"/>
      <c r="G5" s="83"/>
      <c r="H5" s="84"/>
    </row>
    <row r="6" spans="1:8" ht="45" x14ac:dyDescent="0.25">
      <c r="A6" s="85" t="s">
        <v>4</v>
      </c>
      <c r="B6" s="86" t="s">
        <v>9</v>
      </c>
      <c r="C6" s="6"/>
      <c r="D6" s="87" t="s">
        <v>15</v>
      </c>
      <c r="E6" s="88">
        <v>1650</v>
      </c>
      <c r="F6" s="83"/>
      <c r="G6" s="89" t="s">
        <v>18</v>
      </c>
      <c r="H6" s="90">
        <v>1150</v>
      </c>
    </row>
    <row r="7" spans="1:8" x14ac:dyDescent="0.25">
      <c r="A7" s="79"/>
      <c r="B7" s="80"/>
      <c r="C7" s="6"/>
      <c r="D7" s="87"/>
      <c r="E7" s="82"/>
      <c r="F7" s="83"/>
      <c r="G7" s="91"/>
      <c r="H7" s="92"/>
    </row>
    <row r="8" spans="1:8" ht="60" x14ac:dyDescent="0.25">
      <c r="A8" s="85" t="s">
        <v>5</v>
      </c>
      <c r="B8" s="86" t="s">
        <v>10</v>
      </c>
      <c r="C8" s="6"/>
      <c r="D8" s="93" t="s">
        <v>16</v>
      </c>
      <c r="E8" s="88">
        <v>3300</v>
      </c>
      <c r="F8" s="83"/>
      <c r="G8" s="89" t="s">
        <v>19</v>
      </c>
      <c r="H8" s="90">
        <v>3300</v>
      </c>
    </row>
    <row r="9" spans="1:8" x14ac:dyDescent="0.25">
      <c r="A9" s="79"/>
      <c r="B9" s="80"/>
      <c r="C9" s="6"/>
      <c r="D9" s="87"/>
      <c r="E9" s="82"/>
      <c r="F9" s="83"/>
      <c r="G9" s="91"/>
      <c r="H9" s="92"/>
    </row>
    <row r="10" spans="1:8" ht="45" x14ac:dyDescent="0.25">
      <c r="A10" s="85" t="s">
        <v>6</v>
      </c>
      <c r="B10" s="86" t="s">
        <v>11</v>
      </c>
      <c r="C10" s="6"/>
      <c r="D10" s="93" t="s">
        <v>17</v>
      </c>
      <c r="E10" s="88">
        <v>1650</v>
      </c>
      <c r="F10" s="83"/>
      <c r="G10" s="89" t="s">
        <v>20</v>
      </c>
      <c r="H10" s="90">
        <v>1200</v>
      </c>
    </row>
    <row r="11" spans="1:8" x14ac:dyDescent="0.25">
      <c r="A11" s="79"/>
      <c r="B11" s="80"/>
      <c r="C11" s="6"/>
      <c r="D11" s="87"/>
      <c r="E11" s="82"/>
      <c r="F11" s="83"/>
      <c r="G11" s="83"/>
      <c r="H11" s="84"/>
    </row>
    <row r="12" spans="1:8" ht="107.25" customHeight="1" thickBot="1" x14ac:dyDescent="0.3">
      <c r="A12" s="94" t="s">
        <v>7</v>
      </c>
      <c r="B12" s="95" t="s">
        <v>12</v>
      </c>
      <c r="C12" s="6"/>
      <c r="D12" s="135" t="s">
        <v>66</v>
      </c>
      <c r="E12" s="136"/>
      <c r="F12" s="136"/>
      <c r="G12" s="136"/>
      <c r="H12" s="137"/>
    </row>
    <row r="13" spans="1:8" x14ac:dyDescent="0.25">
      <c r="A13" s="6"/>
      <c r="B13" s="6"/>
      <c r="C13" s="6"/>
      <c r="D13" s="6"/>
      <c r="E13" s="71"/>
      <c r="F13" s="6"/>
      <c r="G13" s="6"/>
      <c r="H13" s="6"/>
    </row>
    <row r="14" spans="1:8" x14ac:dyDescent="0.25">
      <c r="A14" s="96" t="s">
        <v>77</v>
      </c>
      <c r="B14" s="6"/>
      <c r="C14" s="6"/>
      <c r="D14" s="6"/>
      <c r="E14" s="71"/>
      <c r="F14" s="6"/>
      <c r="G14" s="6"/>
      <c r="H14" s="6"/>
    </row>
  </sheetData>
  <sheetProtection algorithmName="SHA-512" hashValue="zyK1FGyKKhR1s5rqMqIBwfqG5BSDS1eJ+pGn2McPsf66zbodSR4weoM3AvYsiJdeQqToU197ekTx0UBLvd7Bmg==" saltValue="ItNFtFp50JKaCILf1v1Pbw==" spinCount="100000" sheet="1" objects="1" scenarios="1" selectLockedCells="1" selectUnlockedCells="1"/>
  <mergeCells count="2">
    <mergeCell ref="D12:H12"/>
    <mergeCell ref="A2:H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showGridLines="0" showRowColHeaders="0" showRuler="0" view="pageLayout" topLeftCell="B1" zoomScaleNormal="100" zoomScaleSheetLayoutView="115" workbookViewId="0">
      <selection activeCell="B2" sqref="B2"/>
    </sheetView>
  </sheetViews>
  <sheetFormatPr defaultRowHeight="15" x14ac:dyDescent="0.25"/>
  <cols>
    <col min="1" max="1" width="3.5703125" customWidth="1"/>
    <col min="2" max="2" width="144.42578125" style="2" customWidth="1"/>
  </cols>
  <sheetData>
    <row r="2" spans="2:2" ht="18.75" x14ac:dyDescent="0.3">
      <c r="B2" s="100" t="s">
        <v>78</v>
      </c>
    </row>
    <row r="3" spans="2:2" x14ac:dyDescent="0.25">
      <c r="B3" s="55" t="s">
        <v>79</v>
      </c>
    </row>
    <row r="4" spans="2:2" x14ac:dyDescent="0.25">
      <c r="B4" s="55" t="s">
        <v>80</v>
      </c>
    </row>
    <row r="5" spans="2:2" x14ac:dyDescent="0.25">
      <c r="B5" s="2" t="s">
        <v>81</v>
      </c>
    </row>
    <row r="6" spans="2:2" x14ac:dyDescent="0.25">
      <c r="B6" s="55" t="s">
        <v>82</v>
      </c>
    </row>
    <row r="7" spans="2:2" x14ac:dyDescent="0.25">
      <c r="B7" s="55" t="s">
        <v>83</v>
      </c>
    </row>
    <row r="10" spans="2:2" ht="18.75" x14ac:dyDescent="0.3">
      <c r="B10" s="100" t="s">
        <v>31</v>
      </c>
    </row>
    <row r="11" spans="2:2" ht="45" x14ac:dyDescent="0.25">
      <c r="B11" s="2" t="s">
        <v>91</v>
      </c>
    </row>
    <row r="14" spans="2:2" ht="18.75" x14ac:dyDescent="0.3">
      <c r="B14" s="100" t="s">
        <v>32</v>
      </c>
    </row>
    <row r="15" spans="2:2" ht="48.75" customHeight="1" x14ac:dyDescent="0.25">
      <c r="B15" s="2" t="s">
        <v>92</v>
      </c>
    </row>
    <row r="18" spans="2:2" ht="18.75" x14ac:dyDescent="0.3">
      <c r="B18" s="100" t="s">
        <v>25</v>
      </c>
    </row>
    <row r="19" spans="2:2" ht="30" x14ac:dyDescent="0.25">
      <c r="B19" s="2" t="s">
        <v>93</v>
      </c>
    </row>
    <row r="22" spans="2:2" ht="18.75" x14ac:dyDescent="0.3">
      <c r="B22" s="100" t="s">
        <v>28</v>
      </c>
    </row>
    <row r="23" spans="2:2" ht="45" x14ac:dyDescent="0.25">
      <c r="B23" s="2" t="s">
        <v>94</v>
      </c>
    </row>
    <row r="26" spans="2:2" ht="18.75" x14ac:dyDescent="0.3">
      <c r="B26" s="100" t="s">
        <v>29</v>
      </c>
    </row>
    <row r="27" spans="2:2" ht="60" x14ac:dyDescent="0.25">
      <c r="B27" s="2" t="s">
        <v>95</v>
      </c>
    </row>
    <row r="30" spans="2:2" ht="18.75" x14ac:dyDescent="0.3">
      <c r="B30" s="100" t="s">
        <v>30</v>
      </c>
    </row>
    <row r="31" spans="2:2" ht="45" x14ac:dyDescent="0.25">
      <c r="B31" s="2" t="s">
        <v>96</v>
      </c>
    </row>
    <row r="34" spans="2:2" ht="39" x14ac:dyDescent="0.25">
      <c r="B34" s="56" t="s">
        <v>84</v>
      </c>
    </row>
  </sheetData>
  <sheetProtection algorithmName="SHA-512" hashValue="p3rxD4YSCVFtIKnnTvkCGuysReWTxxwiSx7yUoSWx6yjzva7ejmTmSNT3evkTz2FBRyrm5QUa9b2tp7Ifo5FFA==" saltValue="QGSYKjRxql7kTK5USIgY0g==" spinCount="100000" sheet="1" objects="1" scenarios="1" selectLockedCells="1" selectUnlockedCells="1"/>
  <pageMargins left="0.70866141732283472" right="0.70866141732283472" top="0.83333333333333337" bottom="0.74803149606299213" header="0.31496062992125984" footer="0.31496062992125984"/>
  <pageSetup paperSize="9" orientation="portrait" r:id="rId1"/>
  <headerFooter>
    <oddHeader>&amp;L&amp;G</oddHeader>
    <oddFooter>&amp;L&amp;"-,Bold"&amp;12&amp;KEE3124Call 1800 54 54 22 and speak to a Contracting PLUS Solutions Consultant and find out how easy and quick it is to start Contracting&amp;R&amp;G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Calculations - Enter your Pay</vt:lpstr>
      <vt:lpstr>Detailed Calculations</vt:lpstr>
      <vt:lpstr>Tax Credit Info</vt:lpstr>
      <vt:lpstr>Good To Know</vt:lpstr>
      <vt:lpstr>'Calculations - Enter your Pay'!Print_Area</vt:lpstr>
      <vt:lpstr>'Good To Know'!Print_Area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Sheehan</dc:creator>
  <cp:lastModifiedBy>Jimmy Sheehan</cp:lastModifiedBy>
  <cp:lastPrinted>2018-11-27T17:12:05Z</cp:lastPrinted>
  <dcterms:created xsi:type="dcterms:W3CDTF">2018-09-25T11:39:18Z</dcterms:created>
  <dcterms:modified xsi:type="dcterms:W3CDTF">2018-12-04T12:21:22Z</dcterms:modified>
</cp:coreProperties>
</file>